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ntiago\Documents\Archivos Universidad\Direccionamiento Estratégico\Finance\"/>
    </mc:Choice>
  </mc:AlternateContent>
  <bookViews>
    <workbookView xWindow="0" yWindow="0" windowWidth="15345" windowHeight="4635" firstSheet="1" activeTab="1"/>
  </bookViews>
  <sheets>
    <sheet name="Información " sheetId="4" r:id="rId1"/>
    <sheet name="Presupuesto de Ventas" sheetId="3" r:id="rId2"/>
    <sheet name="Proveedores" sheetId="6" r:id="rId3"/>
    <sheet name="Presupuesto de Flujo de Efectiv" sheetId="7" r:id="rId4"/>
    <sheet name="Estado de Resultados" sheetId="1" r:id="rId5"/>
    <sheet name="Balance General" sheetId="2" r:id="rId6"/>
    <sheet name="Salarios" sheetId="5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D18" i="7"/>
  <c r="E18" i="7"/>
  <c r="F18" i="7"/>
  <c r="G18" i="7"/>
  <c r="H18" i="7"/>
  <c r="I18" i="7"/>
  <c r="J18" i="7"/>
  <c r="K18" i="7"/>
  <c r="L18" i="7"/>
  <c r="M18" i="7"/>
  <c r="N18" i="7"/>
  <c r="C18" i="7"/>
  <c r="B9" i="2"/>
  <c r="K13" i="1"/>
  <c r="Q12" i="7" s="1"/>
  <c r="K14" i="1"/>
  <c r="K17" i="1"/>
  <c r="Z12" i="7" l="1"/>
  <c r="X12" i="7"/>
  <c r="V12" i="7"/>
  <c r="T12" i="7"/>
  <c r="R12" i="7"/>
  <c r="P12" i="7"/>
  <c r="O12" i="7"/>
  <c r="Y12" i="7"/>
  <c r="W12" i="7"/>
  <c r="U12" i="7"/>
  <c r="S12" i="7"/>
  <c r="B17" i="2" l="1"/>
  <c r="C6" i="3" l="1"/>
  <c r="D5" i="6" s="1"/>
  <c r="AA14" i="7"/>
  <c r="O14" i="7"/>
  <c r="C14" i="7"/>
  <c r="C4" i="5" l="1"/>
  <c r="C16" i="7"/>
  <c r="C5" i="6"/>
  <c r="AB16" i="7" l="1"/>
  <c r="AC16" i="7"/>
  <c r="AD16" i="7"/>
  <c r="AE16" i="7"/>
  <c r="AF16" i="7"/>
  <c r="AG16" i="7"/>
  <c r="AH16" i="7"/>
  <c r="AI16" i="7"/>
  <c r="AJ16" i="7"/>
  <c r="AK16" i="7"/>
  <c r="AL16" i="7"/>
  <c r="AA16" i="7"/>
  <c r="P16" i="7"/>
  <c r="Q16" i="7"/>
  <c r="R16" i="7"/>
  <c r="S16" i="7"/>
  <c r="T16" i="7"/>
  <c r="U16" i="7"/>
  <c r="V16" i="7"/>
  <c r="W16" i="7"/>
  <c r="X16" i="7"/>
  <c r="Y16" i="7"/>
  <c r="Z16" i="7"/>
  <c r="O16" i="7"/>
  <c r="D16" i="7"/>
  <c r="E16" i="7"/>
  <c r="F16" i="7"/>
  <c r="G16" i="7"/>
  <c r="H16" i="7"/>
  <c r="I16" i="7"/>
  <c r="J16" i="7"/>
  <c r="K16" i="7"/>
  <c r="L16" i="7"/>
  <c r="M16" i="7"/>
  <c r="N16" i="7"/>
  <c r="C19" i="6"/>
  <c r="D19" i="6" s="1"/>
  <c r="E19" i="6" s="1"/>
  <c r="C34" i="6"/>
  <c r="C18" i="6" s="1"/>
  <c r="C16" i="6"/>
  <c r="C17" i="6"/>
  <c r="C15" i="6"/>
  <c r="D13" i="6"/>
  <c r="D14" i="6"/>
  <c r="E14" i="6"/>
  <c r="E13" i="6"/>
  <c r="E12" i="6"/>
  <c r="H20" i="4" l="1"/>
  <c r="E20" i="4"/>
  <c r="B20" i="4"/>
  <c r="B7" i="4"/>
  <c r="E4" i="4" s="1"/>
  <c r="I10" i="6" l="1"/>
  <c r="D18" i="6" s="1"/>
  <c r="E18" i="6" s="1"/>
  <c r="F18" i="6" s="1"/>
  <c r="D16" i="6" l="1"/>
  <c r="E16" i="6" s="1"/>
  <c r="F16" i="6" s="1"/>
  <c r="F14" i="6"/>
  <c r="D17" i="6"/>
  <c r="E17" i="6" s="1"/>
  <c r="F17" i="6" s="1"/>
  <c r="F13" i="6"/>
  <c r="F12" i="6"/>
  <c r="F19" i="6"/>
  <c r="D15" i="6"/>
  <c r="E15" i="6" s="1"/>
  <c r="E20" i="6" l="1"/>
  <c r="B22" i="4" s="1"/>
  <c r="B25" i="4" s="1"/>
  <c r="F15" i="6"/>
  <c r="F20" i="6" s="1"/>
  <c r="B24" i="4" l="1"/>
  <c r="I6" i="6" s="1"/>
  <c r="B23" i="4"/>
  <c r="C6" i="6" s="1"/>
  <c r="K6" i="6"/>
  <c r="F6" i="6"/>
  <c r="E22" i="4"/>
  <c r="L6" i="6"/>
  <c r="M6" i="6"/>
  <c r="N6" i="6"/>
  <c r="D15" i="7"/>
  <c r="C13" i="1"/>
  <c r="C12" i="7" l="1"/>
  <c r="G12" i="7"/>
  <c r="K12" i="7"/>
  <c r="D12" i="7"/>
  <c r="H12" i="7"/>
  <c r="L12" i="7"/>
  <c r="E12" i="7"/>
  <c r="I12" i="7"/>
  <c r="M12" i="7"/>
  <c r="F12" i="7"/>
  <c r="J12" i="7"/>
  <c r="N12" i="7"/>
  <c r="G6" i="6"/>
  <c r="J6" i="6"/>
  <c r="H6" i="6"/>
  <c r="E6" i="6"/>
  <c r="D6" i="6"/>
  <c r="C7" i="6"/>
  <c r="C17" i="7" s="1"/>
  <c r="E24" i="4"/>
  <c r="E23" i="4"/>
  <c r="E25" i="4"/>
  <c r="K15" i="7"/>
  <c r="J15" i="7"/>
  <c r="C15" i="7"/>
  <c r="G15" i="7"/>
  <c r="N15" i="7"/>
  <c r="F15" i="7"/>
  <c r="M15" i="7"/>
  <c r="I15" i="7"/>
  <c r="E15" i="7"/>
  <c r="L15" i="7"/>
  <c r="H15" i="7"/>
  <c r="D7" i="6" l="1"/>
  <c r="D17" i="7" s="1"/>
  <c r="Y6" i="6"/>
  <c r="X6" i="6"/>
  <c r="H22" i="4"/>
  <c r="Z6" i="6"/>
  <c r="P6" i="6"/>
  <c r="Q6" i="6"/>
  <c r="O6" i="6"/>
  <c r="S6" i="6"/>
  <c r="U6" i="6"/>
  <c r="W6" i="6"/>
  <c r="T6" i="6"/>
  <c r="R6" i="6"/>
  <c r="V6" i="6"/>
  <c r="D6" i="3"/>
  <c r="E5" i="6" s="1"/>
  <c r="E7" i="6" s="1"/>
  <c r="E17" i="7" s="1"/>
  <c r="B7" i="2"/>
  <c r="S13" i="1"/>
  <c r="S14" i="1"/>
  <c r="S17" i="1"/>
  <c r="B15" i="4"/>
  <c r="B16" i="4" s="1"/>
  <c r="B14" i="4"/>
  <c r="H7" i="2" s="1"/>
  <c r="B11" i="4"/>
  <c r="B12" i="4" s="1"/>
  <c r="C14" i="1"/>
  <c r="H44" i="5"/>
  <c r="H36" i="5"/>
  <c r="H28" i="5"/>
  <c r="H20" i="5"/>
  <c r="C5" i="5"/>
  <c r="H30" i="5" s="1"/>
  <c r="L20" i="5"/>
  <c r="H14" i="5"/>
  <c r="G12" i="5"/>
  <c r="L6" i="5"/>
  <c r="H6" i="5"/>
  <c r="G4" i="5"/>
  <c r="B13" i="5"/>
  <c r="B12" i="5"/>
  <c r="B10" i="5"/>
  <c r="K18" i="1" l="1"/>
  <c r="H8" i="2"/>
  <c r="E8" i="2"/>
  <c r="C18" i="1"/>
  <c r="S18" i="1"/>
  <c r="B8" i="2"/>
  <c r="E7" i="2"/>
  <c r="E9" i="2" s="1"/>
  <c r="H9" i="2"/>
  <c r="E6" i="3"/>
  <c r="H25" i="4"/>
  <c r="H23" i="4"/>
  <c r="H24" i="4"/>
  <c r="P15" i="7"/>
  <c r="T15" i="7"/>
  <c r="X15" i="7"/>
  <c r="W15" i="7"/>
  <c r="Q15" i="7"/>
  <c r="U15" i="7"/>
  <c r="Y15" i="7"/>
  <c r="S15" i="7"/>
  <c r="R15" i="7"/>
  <c r="V15" i="7"/>
  <c r="Z15" i="7"/>
  <c r="O15" i="7"/>
  <c r="G13" i="7"/>
  <c r="K13" i="7"/>
  <c r="C13" i="7"/>
  <c r="J13" i="7"/>
  <c r="D13" i="7"/>
  <c r="H13" i="7"/>
  <c r="L13" i="7"/>
  <c r="N13" i="7"/>
  <c r="E13" i="7"/>
  <c r="I13" i="7"/>
  <c r="M13" i="7"/>
  <c r="F13" i="7"/>
  <c r="AB15" i="7"/>
  <c r="AF15" i="7"/>
  <c r="AJ15" i="7"/>
  <c r="AA15" i="7"/>
  <c r="AC15" i="7"/>
  <c r="AG15" i="7"/>
  <c r="AK15" i="7"/>
  <c r="AI15" i="7"/>
  <c r="AD15" i="7"/>
  <c r="AH15" i="7"/>
  <c r="AL15" i="7"/>
  <c r="AE15" i="7"/>
  <c r="AB13" i="7"/>
  <c r="AF13" i="7"/>
  <c r="AJ13" i="7"/>
  <c r="AD13" i="7"/>
  <c r="AE13" i="7"/>
  <c r="AI13" i="7"/>
  <c r="AA13" i="7"/>
  <c r="AC13" i="7"/>
  <c r="AG13" i="7"/>
  <c r="AK13" i="7"/>
  <c r="AH13" i="7"/>
  <c r="AL13" i="7"/>
  <c r="P13" i="7"/>
  <c r="T13" i="7"/>
  <c r="X13" i="7"/>
  <c r="V13" i="7"/>
  <c r="S13" i="7"/>
  <c r="W13" i="7"/>
  <c r="Q13" i="7"/>
  <c r="U13" i="7"/>
  <c r="Y13" i="7"/>
  <c r="R13" i="7"/>
  <c r="Z13" i="7"/>
  <c r="O13" i="7"/>
  <c r="AB12" i="7"/>
  <c r="AF12" i="7"/>
  <c r="AJ12" i="7"/>
  <c r="AD12" i="7"/>
  <c r="AL12" i="7"/>
  <c r="AI12" i="7"/>
  <c r="AA12" i="7"/>
  <c r="AC12" i="7"/>
  <c r="AG12" i="7"/>
  <c r="AK12" i="7"/>
  <c r="AH12" i="7"/>
  <c r="AE12" i="7"/>
  <c r="D4" i="5"/>
  <c r="L36" i="5" s="1"/>
  <c r="D5" i="5"/>
  <c r="L38" i="5" s="1"/>
  <c r="L22" i="5"/>
  <c r="H29" i="5"/>
  <c r="H31" i="5" s="1"/>
  <c r="H22" i="5"/>
  <c r="H37" i="5"/>
  <c r="C9" i="5"/>
  <c r="C17" i="5" s="1"/>
  <c r="L5" i="5" s="1"/>
  <c r="L7" i="5" s="1"/>
  <c r="H21" i="5" l="1"/>
  <c r="H5" i="5"/>
  <c r="H7" i="5" s="1"/>
  <c r="H45" i="5"/>
  <c r="L21" i="5"/>
  <c r="L23" i="5" s="1"/>
  <c r="F6" i="3"/>
  <c r="F5" i="6"/>
  <c r="F7" i="6" s="1"/>
  <c r="F17" i="7" s="1"/>
  <c r="H38" i="5"/>
  <c r="H46" i="5"/>
  <c r="L37" i="5"/>
  <c r="L39" i="5" s="1"/>
  <c r="H23" i="5"/>
  <c r="AG6" i="6"/>
  <c r="AD6" i="6"/>
  <c r="AE6" i="6"/>
  <c r="AF6" i="6"/>
  <c r="AH6" i="6"/>
  <c r="AI6" i="6"/>
  <c r="AB6" i="6"/>
  <c r="AA6" i="6"/>
  <c r="AC6" i="6"/>
  <c r="AL6" i="6"/>
  <c r="AK6" i="6"/>
  <c r="AJ6" i="6"/>
  <c r="H39" i="5"/>
  <c r="H13" i="5"/>
  <c r="H15" i="5" s="1"/>
  <c r="K12" i="1" l="1"/>
  <c r="S11" i="7" s="1"/>
  <c r="C12" i="1"/>
  <c r="G6" i="3"/>
  <c r="G5" i="6"/>
  <c r="G7" i="6" s="1"/>
  <c r="G17" i="7" s="1"/>
  <c r="V11" i="7"/>
  <c r="U11" i="7"/>
  <c r="H47" i="5"/>
  <c r="S12" i="1" s="1"/>
  <c r="H2" i="4"/>
  <c r="E2" i="4"/>
  <c r="B5" i="4"/>
  <c r="L7" i="3"/>
  <c r="B2" i="4"/>
  <c r="B6" i="4" s="1"/>
  <c r="L19" i="1" l="1"/>
  <c r="Q11" i="7"/>
  <c r="X11" i="7"/>
  <c r="T11" i="7"/>
  <c r="Z11" i="7"/>
  <c r="W11" i="7"/>
  <c r="O11" i="7"/>
  <c r="P11" i="7"/>
  <c r="Y11" i="7"/>
  <c r="R11" i="7"/>
  <c r="AF11" i="7"/>
  <c r="AD11" i="7"/>
  <c r="AL11" i="7"/>
  <c r="AG11" i="7"/>
  <c r="AJ11" i="7"/>
  <c r="AH11" i="7"/>
  <c r="AB11" i="7"/>
  <c r="AI11" i="7"/>
  <c r="AA11" i="7"/>
  <c r="AC11" i="7"/>
  <c r="AE11" i="7"/>
  <c r="AK11" i="7"/>
  <c r="C7" i="3"/>
  <c r="C8" i="3" s="1"/>
  <c r="E7" i="7" s="1"/>
  <c r="B7" i="3"/>
  <c r="B8" i="3" s="1"/>
  <c r="D7" i="7" s="1"/>
  <c r="H6" i="3"/>
  <c r="H5" i="6"/>
  <c r="H7" i="6" s="1"/>
  <c r="H17" i="7" s="1"/>
  <c r="D11" i="7"/>
  <c r="D20" i="7" s="1"/>
  <c r="J11" i="7"/>
  <c r="N11" i="7"/>
  <c r="G11" i="7"/>
  <c r="G20" i="7" s="1"/>
  <c r="F11" i="7"/>
  <c r="F20" i="7" s="1"/>
  <c r="D19" i="1"/>
  <c r="E11" i="7"/>
  <c r="E20" i="7" s="1"/>
  <c r="I11" i="7"/>
  <c r="C11" i="7"/>
  <c r="C20" i="7" s="1"/>
  <c r="M11" i="7"/>
  <c r="K11" i="7"/>
  <c r="L11" i="7"/>
  <c r="H11" i="7"/>
  <c r="I7" i="3"/>
  <c r="E6" i="4"/>
  <c r="G7" i="3"/>
  <c r="G8" i="3" s="1"/>
  <c r="I7" i="7" s="1"/>
  <c r="H7" i="3"/>
  <c r="D7" i="3"/>
  <c r="D8" i="3" s="1"/>
  <c r="F7" i="7" s="1"/>
  <c r="F7" i="3"/>
  <c r="F8" i="3" s="1"/>
  <c r="H7" i="7" s="1"/>
  <c r="K7" i="3"/>
  <c r="J7" i="3"/>
  <c r="M7" i="3"/>
  <c r="E7" i="3"/>
  <c r="E8" i="3" s="1"/>
  <c r="G7" i="7" s="1"/>
  <c r="H20" i="7" l="1"/>
  <c r="H8" i="3"/>
  <c r="J7" i="7" s="1"/>
  <c r="I6" i="3"/>
  <c r="I5" i="6"/>
  <c r="I7" i="6" s="1"/>
  <c r="I17" i="7" s="1"/>
  <c r="I20" i="7" s="1"/>
  <c r="G8" i="7"/>
  <c r="G22" i="7" s="1"/>
  <c r="H8" i="7"/>
  <c r="E8" i="7"/>
  <c r="E22" i="7" s="1"/>
  <c r="F8" i="7"/>
  <c r="F22" i="7" s="1"/>
  <c r="D8" i="7"/>
  <c r="D22" i="7" s="1"/>
  <c r="C8" i="7"/>
  <c r="C22" i="7" s="1"/>
  <c r="C24" i="7" s="1"/>
  <c r="D23" i="7" s="1"/>
  <c r="I8" i="7"/>
  <c r="E5" i="4"/>
  <c r="E7" i="4"/>
  <c r="U7" i="3"/>
  <c r="R7" i="3"/>
  <c r="V7" i="3"/>
  <c r="S7" i="3"/>
  <c r="Q7" i="3"/>
  <c r="T7" i="3"/>
  <c r="J6" i="3" l="1"/>
  <c r="J5" i="6"/>
  <c r="J7" i="6" s="1"/>
  <c r="J17" i="7" s="1"/>
  <c r="J20" i="7" s="1"/>
  <c r="I8" i="3"/>
  <c r="K7" i="7" s="1"/>
  <c r="H22" i="7"/>
  <c r="D24" i="7"/>
  <c r="E23" i="7" s="1"/>
  <c r="I22" i="7"/>
  <c r="N7" i="3"/>
  <c r="O7" i="3"/>
  <c r="P7" i="3"/>
  <c r="W7" i="3"/>
  <c r="Y7" i="3"/>
  <c r="H4" i="4"/>
  <c r="X7" i="3"/>
  <c r="K6" i="3" l="1"/>
  <c r="K5" i="6"/>
  <c r="K7" i="6" s="1"/>
  <c r="K17" i="7" s="1"/>
  <c r="K20" i="7" s="1"/>
  <c r="J8" i="3"/>
  <c r="L7" i="7" s="1"/>
  <c r="E24" i="7"/>
  <c r="F23" i="7" s="1"/>
  <c r="F24" i="7" s="1"/>
  <c r="G23" i="7" s="1"/>
  <c r="G24" i="7" s="1"/>
  <c r="H23" i="7" s="1"/>
  <c r="H24" i="7" s="1"/>
  <c r="I23" i="7" s="1"/>
  <c r="I24" i="7" s="1"/>
  <c r="J23" i="7" s="1"/>
  <c r="J8" i="7"/>
  <c r="J22" i="7" s="1"/>
  <c r="H6" i="4"/>
  <c r="H5" i="4"/>
  <c r="H7" i="4"/>
  <c r="L6" i="3" l="1"/>
  <c r="L5" i="6"/>
  <c r="L7" i="6" s="1"/>
  <c r="L17" i="7" s="1"/>
  <c r="L20" i="7" s="1"/>
  <c r="K8" i="3"/>
  <c r="M7" i="7" s="1"/>
  <c r="J24" i="7"/>
  <c r="K23" i="7" s="1"/>
  <c r="K8" i="7"/>
  <c r="K22" i="7" s="1"/>
  <c r="AI7" i="3"/>
  <c r="AK7" i="3"/>
  <c r="AJ7" i="3"/>
  <c r="AA7" i="3"/>
  <c r="Z7" i="3"/>
  <c r="AB7" i="3"/>
  <c r="AD7" i="3"/>
  <c r="AC7" i="3"/>
  <c r="AH7" i="3"/>
  <c r="AE7" i="3"/>
  <c r="AG7" i="3"/>
  <c r="AF7" i="3"/>
  <c r="M6" i="3" l="1"/>
  <c r="M5" i="6"/>
  <c r="M7" i="6" s="1"/>
  <c r="M17" i="7" s="1"/>
  <c r="M20" i="7" s="1"/>
  <c r="L8" i="3"/>
  <c r="N7" i="7" s="1"/>
  <c r="K24" i="7"/>
  <c r="L23" i="7" s="1"/>
  <c r="L8" i="7"/>
  <c r="L22" i="7" s="1"/>
  <c r="M8" i="7"/>
  <c r="N6" i="3" l="1"/>
  <c r="N5" i="6"/>
  <c r="N7" i="6" s="1"/>
  <c r="N17" i="7" s="1"/>
  <c r="N20" i="7" s="1"/>
  <c r="M8" i="3"/>
  <c r="L24" i="7"/>
  <c r="M23" i="7" s="1"/>
  <c r="M22" i="7"/>
  <c r="B5" i="2" l="1"/>
  <c r="O7" i="7"/>
  <c r="O6" i="3"/>
  <c r="N8" i="3"/>
  <c r="P7" i="7" s="1"/>
  <c r="M24" i="7"/>
  <c r="N23" i="7" s="1"/>
  <c r="N8" i="6"/>
  <c r="D9" i="1" s="1"/>
  <c r="N8" i="7"/>
  <c r="M9" i="3"/>
  <c r="C6" i="1" s="1"/>
  <c r="D7" i="1" s="1"/>
  <c r="O5" i="6"/>
  <c r="O7" i="6" s="1"/>
  <c r="P6" i="3" l="1"/>
  <c r="O8" i="3"/>
  <c r="Q7" i="7" s="1"/>
  <c r="N22" i="7"/>
  <c r="N24" i="7" s="1"/>
  <c r="O6" i="7" s="1"/>
  <c r="O8" i="7" s="1"/>
  <c r="E10" i="1"/>
  <c r="E21" i="1" s="1"/>
  <c r="O17" i="7"/>
  <c r="O20" i="7" s="1"/>
  <c r="P5" i="6"/>
  <c r="P7" i="6" s="1"/>
  <c r="P17" i="7" s="1"/>
  <c r="P20" i="7" s="1"/>
  <c r="P8" i="7"/>
  <c r="Q6" i="3" l="1"/>
  <c r="P8" i="3"/>
  <c r="R7" i="7" s="1"/>
  <c r="B4" i="2"/>
  <c r="B6" i="2" s="1"/>
  <c r="B10" i="2" s="1"/>
  <c r="O22" i="7"/>
  <c r="O24" i="7" s="1"/>
  <c r="P23" i="7" s="1"/>
  <c r="E23" i="1"/>
  <c r="P22" i="7"/>
  <c r="Q5" i="6"/>
  <c r="Q7" i="6" s="1"/>
  <c r="Q17" i="7" s="1"/>
  <c r="Q8" i="7"/>
  <c r="R6" i="3" l="1"/>
  <c r="Q8" i="3"/>
  <c r="S7" i="7" s="1"/>
  <c r="D26" i="1"/>
  <c r="E28" i="1" s="1"/>
  <c r="P24" i="7"/>
  <c r="Q23" i="7" s="1"/>
  <c r="R5" i="6"/>
  <c r="R7" i="6" s="1"/>
  <c r="R17" i="7" s="1"/>
  <c r="R20" i="7" s="1"/>
  <c r="R8" i="7"/>
  <c r="S6" i="3" l="1"/>
  <c r="R8" i="3"/>
  <c r="T7" i="7" s="1"/>
  <c r="R22" i="7"/>
  <c r="S5" i="6"/>
  <c r="S7" i="6" s="1"/>
  <c r="S8" i="7"/>
  <c r="T6" i="3" l="1"/>
  <c r="S8" i="3"/>
  <c r="U7" i="7" s="1"/>
  <c r="S17" i="7"/>
  <c r="S20" i="7" s="1"/>
  <c r="T5" i="6"/>
  <c r="T7" i="6" s="1"/>
  <c r="T17" i="7" s="1"/>
  <c r="T20" i="7" s="1"/>
  <c r="T8" i="7"/>
  <c r="U6" i="3" l="1"/>
  <c r="T8" i="3"/>
  <c r="V7" i="7" s="1"/>
  <c r="S22" i="7"/>
  <c r="T22" i="7"/>
  <c r="U5" i="6"/>
  <c r="U7" i="6" s="1"/>
  <c r="U17" i="7" s="1"/>
  <c r="U20" i="7" s="1"/>
  <c r="U8" i="7"/>
  <c r="V6" i="3" l="1"/>
  <c r="U8" i="3"/>
  <c r="W7" i="7" s="1"/>
  <c r="U22" i="7"/>
  <c r="V5" i="6"/>
  <c r="V7" i="6" s="1"/>
  <c r="V17" i="7" s="1"/>
  <c r="V20" i="7" s="1"/>
  <c r="V8" i="7"/>
  <c r="W6" i="3" l="1"/>
  <c r="V8" i="3"/>
  <c r="X7" i="7" s="1"/>
  <c r="V22" i="7"/>
  <c r="W5" i="6"/>
  <c r="W7" i="6" s="1"/>
  <c r="W17" i="7" s="1"/>
  <c r="W20" i="7" s="1"/>
  <c r="W8" i="7"/>
  <c r="X6" i="3" l="1"/>
  <c r="W8" i="3"/>
  <c r="Y7" i="7" s="1"/>
  <c r="W22" i="7"/>
  <c r="X5" i="6"/>
  <c r="X7" i="6" s="1"/>
  <c r="X17" i="7" s="1"/>
  <c r="X20" i="7" s="1"/>
  <c r="X8" i="7"/>
  <c r="Y6" i="3" l="1"/>
  <c r="X8" i="3"/>
  <c r="Z7" i="7" s="1"/>
  <c r="X22" i="7"/>
  <c r="Y5" i="6"/>
  <c r="Y7" i="6" s="1"/>
  <c r="Y17" i="7" s="1"/>
  <c r="Y20" i="7" s="1"/>
  <c r="Y8" i="7"/>
  <c r="Z6" i="3" l="1"/>
  <c r="Y8" i="3"/>
  <c r="Y22" i="7"/>
  <c r="Z5" i="6"/>
  <c r="Z7" i="6" s="1"/>
  <c r="AA6" i="3" l="1"/>
  <c r="Z8" i="3"/>
  <c r="AB7" i="7" s="1"/>
  <c r="E5" i="2"/>
  <c r="AA7" i="7"/>
  <c r="Z8" i="6"/>
  <c r="L9" i="1" s="1"/>
  <c r="N19" i="1" s="1"/>
  <c r="N21" i="1" s="1"/>
  <c r="Z17" i="7"/>
  <c r="Z20" i="7" s="1"/>
  <c r="AA5" i="6"/>
  <c r="AA7" i="6" s="1"/>
  <c r="Y9" i="3"/>
  <c r="K6" i="1" s="1"/>
  <c r="L7" i="1" s="1"/>
  <c r="Z8" i="7"/>
  <c r="AB6" i="3" l="1"/>
  <c r="AA8" i="3"/>
  <c r="AC7" i="7" s="1"/>
  <c r="Z22" i="7"/>
  <c r="M10" i="1"/>
  <c r="M21" i="1" s="1"/>
  <c r="M23" i="1" s="1"/>
  <c r="AA17" i="7"/>
  <c r="AA20" i="7" s="1"/>
  <c r="AB5" i="6"/>
  <c r="AB7" i="6" s="1"/>
  <c r="AB17" i="7" s="1"/>
  <c r="AB20" i="7" s="1"/>
  <c r="AB8" i="7"/>
  <c r="AC6" i="3" l="1"/>
  <c r="AB8" i="3"/>
  <c r="AD7" i="7" s="1"/>
  <c r="L26" i="1"/>
  <c r="AB22" i="7"/>
  <c r="AC5" i="6"/>
  <c r="AC7" i="6" s="1"/>
  <c r="AC17" i="7" s="1"/>
  <c r="AC8" i="7"/>
  <c r="AD6" i="3" l="1"/>
  <c r="AC8" i="3"/>
  <c r="AE7" i="7" s="1"/>
  <c r="M28" i="1"/>
  <c r="E13" i="2" s="1"/>
  <c r="AC19" i="7"/>
  <c r="AC20" i="7" s="1"/>
  <c r="AD5" i="6"/>
  <c r="AD7" i="6" s="1"/>
  <c r="AD17" i="7" s="1"/>
  <c r="AD20" i="7" s="1"/>
  <c r="AD8" i="7"/>
  <c r="AE6" i="3" l="1"/>
  <c r="AD8" i="3"/>
  <c r="AF7" i="7" s="1"/>
  <c r="AC22" i="7"/>
  <c r="M30" i="1"/>
  <c r="E19" i="2" s="1"/>
  <c r="E14" i="2"/>
  <c r="E15" i="2" s="1"/>
  <c r="AD22" i="7"/>
  <c r="AE5" i="6"/>
  <c r="AE7" i="6" s="1"/>
  <c r="AE17" i="7" s="1"/>
  <c r="AE20" i="7" s="1"/>
  <c r="AE8" i="7"/>
  <c r="AF6" i="3" l="1"/>
  <c r="AE8" i="3"/>
  <c r="AG7" i="7" s="1"/>
  <c r="AE22" i="7"/>
  <c r="AF5" i="6"/>
  <c r="AF7" i="6" s="1"/>
  <c r="AF17" i="7" s="1"/>
  <c r="AF20" i="7" s="1"/>
  <c r="AF8" i="7"/>
  <c r="AG6" i="3" l="1"/>
  <c r="AF8" i="3"/>
  <c r="AH7" i="7" s="1"/>
  <c r="AF22" i="7"/>
  <c r="AG5" i="6"/>
  <c r="AG7" i="6" s="1"/>
  <c r="AG17" i="7" s="1"/>
  <c r="AG20" i="7" s="1"/>
  <c r="AG8" i="7"/>
  <c r="Q19" i="7"/>
  <c r="Q20" i="7" s="1"/>
  <c r="AH6" i="3" l="1"/>
  <c r="AG8" i="3"/>
  <c r="AI7" i="7" s="1"/>
  <c r="B13" i="2"/>
  <c r="B14" i="2" s="1"/>
  <c r="B15" i="2" s="1"/>
  <c r="Q22" i="7"/>
  <c r="Q24" i="7" s="1"/>
  <c r="R23" i="7" s="1"/>
  <c r="E30" i="1"/>
  <c r="AG22" i="7"/>
  <c r="AH5" i="6"/>
  <c r="AH7" i="6" s="1"/>
  <c r="AH17" i="7" s="1"/>
  <c r="AH20" i="7" s="1"/>
  <c r="AH8" i="7"/>
  <c r="AI6" i="3" l="1"/>
  <c r="AH8" i="3"/>
  <c r="AJ7" i="7" s="1"/>
  <c r="R24" i="7"/>
  <c r="S23" i="7" s="1"/>
  <c r="AH22" i="7"/>
  <c r="AI5" i="6"/>
  <c r="AI7" i="6" s="1"/>
  <c r="AI17" i="7" s="1"/>
  <c r="AI20" i="7" s="1"/>
  <c r="AI8" i="7"/>
  <c r="B18" i="2"/>
  <c r="B19" i="2" s="1"/>
  <c r="B20" i="2" s="1"/>
  <c r="AJ6" i="3" l="1"/>
  <c r="AI8" i="3"/>
  <c r="AK7" i="7" s="1"/>
  <c r="E18" i="2"/>
  <c r="S24" i="7"/>
  <c r="T23" i="7" s="1"/>
  <c r="AI22" i="7"/>
  <c r="AJ5" i="6"/>
  <c r="AJ7" i="6" s="1"/>
  <c r="AJ17" i="7" s="1"/>
  <c r="AJ20" i="7" s="1"/>
  <c r="AJ8" i="7"/>
  <c r="AK6" i="3" l="1"/>
  <c r="AJ8" i="3"/>
  <c r="AL7" i="7" s="1"/>
  <c r="H18" i="2"/>
  <c r="E20" i="2"/>
  <c r="E21" i="2" s="1"/>
  <c r="T24" i="7"/>
  <c r="U23" i="7" s="1"/>
  <c r="AJ22" i="7"/>
  <c r="AK5" i="6"/>
  <c r="AK7" i="6" s="1"/>
  <c r="AK17" i="7" s="1"/>
  <c r="AK20" i="7" s="1"/>
  <c r="AK8" i="7"/>
  <c r="AL6" i="3" l="1"/>
  <c r="AL8" i="3" s="1"/>
  <c r="AK8" i="3"/>
  <c r="H5" i="2" s="1"/>
  <c r="U24" i="7"/>
  <c r="V23" i="7" s="1"/>
  <c r="AK22" i="7"/>
  <c r="AL5" i="6"/>
  <c r="AL7" i="6" s="1"/>
  <c r="V24" i="7" l="1"/>
  <c r="W23" i="7" s="1"/>
  <c r="AL8" i="6"/>
  <c r="AL17" i="7"/>
  <c r="AL20" i="7" s="1"/>
  <c r="AK9" i="3"/>
  <c r="S6" i="1" s="1"/>
  <c r="T7" i="1" s="1"/>
  <c r="AL8" i="7"/>
  <c r="W24" i="7" l="1"/>
  <c r="X23" i="7" s="1"/>
  <c r="T19" i="1"/>
  <c r="T9" i="1"/>
  <c r="U10" i="1" s="1"/>
  <c r="AL22" i="7"/>
  <c r="X24" i="7" l="1"/>
  <c r="Y23" i="7" s="1"/>
  <c r="U21" i="1"/>
  <c r="U23" i="1" s="1"/>
  <c r="T26" i="1" s="1"/>
  <c r="Y24" i="7" l="1"/>
  <c r="Z23" i="7" s="1"/>
  <c r="T25" i="1"/>
  <c r="U28" i="1" s="1"/>
  <c r="U30" i="1" s="1"/>
  <c r="H19" i="2" s="1"/>
  <c r="H20" i="2" s="1"/>
  <c r="Z24" i="7" l="1"/>
  <c r="H13" i="2"/>
  <c r="H14" i="2" s="1"/>
  <c r="H15" i="2" s="1"/>
  <c r="H21" i="2" s="1"/>
  <c r="E4" i="2" l="1"/>
  <c r="E6" i="2" s="1"/>
  <c r="AA6" i="7"/>
  <c r="AA8" i="7" s="1"/>
  <c r="AA22" i="7" s="1"/>
  <c r="AA24" i="7" s="1"/>
  <c r="AB23" i="7" s="1"/>
  <c r="AB24" i="7" s="1"/>
  <c r="AC23" i="7" s="1"/>
  <c r="AC24" i="7" s="1"/>
  <c r="AD23" i="7" s="1"/>
  <c r="AD24" i="7" s="1"/>
  <c r="AE23" i="7" s="1"/>
  <c r="AE24" i="7" s="1"/>
  <c r="AF23" i="7" s="1"/>
  <c r="AF24" i="7" s="1"/>
  <c r="AG23" i="7" s="1"/>
  <c r="AG24" i="7" s="1"/>
  <c r="AH23" i="7" s="1"/>
  <c r="AH24" i="7" s="1"/>
  <c r="AI23" i="7" s="1"/>
  <c r="AI24" i="7" s="1"/>
  <c r="AJ23" i="7" s="1"/>
  <c r="AJ24" i="7" s="1"/>
  <c r="AK23" i="7" s="1"/>
  <c r="AK24" i="7" s="1"/>
  <c r="AL23" i="7" s="1"/>
  <c r="AL24" i="7" s="1"/>
  <c r="H4" i="2" s="1"/>
  <c r="H6" i="2" s="1"/>
  <c r="H10" i="2" s="1"/>
  <c r="E10" i="2" l="1"/>
  <c r="N22" i="1" s="1"/>
</calcChain>
</file>

<file path=xl/comments1.xml><?xml version="1.0" encoding="utf-8"?>
<comments xmlns="http://schemas.openxmlformats.org/spreadsheetml/2006/main">
  <authors>
    <author>CULSM22</author>
  </authors>
  <commentList>
    <comment ref="A2" authorId="0" shapeId="0">
      <text>
        <r>
          <rPr>
            <b/>
            <sz val="9"/>
            <color indexed="81"/>
            <rFont val="Tahoma"/>
            <family val="2"/>
          </rPr>
          <t>CULSM22:</t>
        </r>
        <r>
          <rPr>
            <sz val="9"/>
            <color indexed="81"/>
            <rFont val="Tahoma"/>
            <family val="2"/>
          </rPr>
          <t xml:space="preserve">
No es para una fecha sino para un periodo.
</t>
        </r>
      </text>
    </comment>
    <comment ref="I2" authorId="0" shapeId="0">
      <text>
        <r>
          <rPr>
            <b/>
            <sz val="9"/>
            <color indexed="81"/>
            <rFont val="Tahoma"/>
            <family val="2"/>
          </rPr>
          <t>CULSM22:</t>
        </r>
        <r>
          <rPr>
            <sz val="9"/>
            <color indexed="81"/>
            <rFont val="Tahoma"/>
            <family val="2"/>
          </rPr>
          <t xml:space="preserve">
No es para una fecha sino para un periodo.
</t>
        </r>
      </text>
    </comment>
    <comment ref="Q2" authorId="0" shapeId="0">
      <text>
        <r>
          <rPr>
            <b/>
            <sz val="9"/>
            <color indexed="81"/>
            <rFont val="Tahoma"/>
            <family val="2"/>
          </rPr>
          <t>CULSM22:</t>
        </r>
        <r>
          <rPr>
            <sz val="9"/>
            <color indexed="81"/>
            <rFont val="Tahoma"/>
            <family val="2"/>
          </rPr>
          <t xml:space="preserve">
No es para una fecha sino para un periodo.
</t>
        </r>
      </text>
    </comment>
  </commentList>
</comments>
</file>

<file path=xl/comments2.xml><?xml version="1.0" encoding="utf-8"?>
<comments xmlns="http://schemas.openxmlformats.org/spreadsheetml/2006/main">
  <authors>
    <author>santiago velasquez</author>
  </authors>
  <commentList>
    <comment ref="A8" authorId="0" shapeId="0">
      <text>
        <r>
          <rPr>
            <b/>
            <sz val="9"/>
            <color indexed="81"/>
            <rFont val="Tahoma"/>
            <family val="2"/>
          </rPr>
          <t>santiago velasquez:</t>
        </r>
        <r>
          <rPr>
            <sz val="9"/>
            <color indexed="81"/>
            <rFont val="Tahoma"/>
            <family val="2"/>
          </rPr>
          <t xml:space="preserve">
Cena, Caja de compensación, bienestar Familiar.</t>
        </r>
      </text>
    </comment>
    <comment ref="B11" authorId="0" shapeId="0">
      <text>
        <r>
          <rPr>
            <b/>
            <sz val="9"/>
            <color indexed="81"/>
            <rFont val="Tahoma"/>
            <family val="2"/>
          </rPr>
          <t>santiago velasquez:</t>
        </r>
        <r>
          <rPr>
            <sz val="9"/>
            <color indexed="81"/>
            <rFont val="Tahoma"/>
            <family val="2"/>
          </rPr>
          <t xml:space="preserve">
Porque es 12% anual </t>
        </r>
      </text>
    </comment>
    <comment ref="A16" authorId="0" shapeId="0">
      <text>
        <r>
          <rPr>
            <b/>
            <sz val="9"/>
            <color indexed="81"/>
            <rFont val="Tahoma"/>
            <family val="2"/>
          </rPr>
          <t>santiago velasquez:</t>
        </r>
        <r>
          <rPr>
            <sz val="9"/>
            <color indexed="81"/>
            <rFont val="Tahoma"/>
            <family val="2"/>
          </rPr>
          <t xml:space="preserve">
Depende de la clase de riesgo</t>
        </r>
      </text>
    </comment>
  </commentList>
</comments>
</file>

<file path=xl/sharedStrings.xml><?xml version="1.0" encoding="utf-8"?>
<sst xmlns="http://schemas.openxmlformats.org/spreadsheetml/2006/main" count="402" uniqueCount="153">
  <si>
    <t>EXPRESADO EN PESOS COLOMBIANOS</t>
  </si>
  <si>
    <t>Ingresos por Ventas</t>
  </si>
  <si>
    <t>TOTAL INGRESOS OPERACIONALES</t>
  </si>
  <si>
    <t>Costo de Ventas</t>
  </si>
  <si>
    <t>UTILIDAD BRUTA EN VENTAS</t>
  </si>
  <si>
    <t>Gastos de Personal</t>
  </si>
  <si>
    <t>Gastos de Depreciación</t>
  </si>
  <si>
    <t>TOTAL GASTOS OPERACIONALES</t>
  </si>
  <si>
    <t>UTILIDAD OPERATIVA</t>
  </si>
  <si>
    <t>UTILIDAD ANTES DE IMPUESTOS</t>
  </si>
  <si>
    <t>IMPUESTOS DEL EJERCICIO</t>
  </si>
  <si>
    <t>UTILIDAD NETA DEL EJERCICIO</t>
  </si>
  <si>
    <t>BottleFit</t>
  </si>
  <si>
    <t>ESTADO DE RESULTADOS PARA LOS DOCE (12) MESES TERMINADOS EL 31 DE DICIEMBRE DE 2016</t>
  </si>
  <si>
    <t>Patrimonio</t>
  </si>
  <si>
    <t xml:space="preserve">Enero </t>
  </si>
  <si>
    <t xml:space="preserve">Febrero </t>
  </si>
  <si>
    <t xml:space="preserve">Marzo </t>
  </si>
  <si>
    <t>Abril</t>
  </si>
  <si>
    <t xml:space="preserve">Mayo </t>
  </si>
  <si>
    <t>Junio</t>
  </si>
  <si>
    <t>Julio</t>
  </si>
  <si>
    <t>Agosto</t>
  </si>
  <si>
    <t>Septimbre</t>
  </si>
  <si>
    <t>Octubre</t>
  </si>
  <si>
    <t>Noviembre</t>
  </si>
  <si>
    <t xml:space="preserve">Diciembre </t>
  </si>
  <si>
    <t>Enero</t>
  </si>
  <si>
    <t>#U.P</t>
  </si>
  <si>
    <t>Precio de Venta</t>
  </si>
  <si>
    <t>Total Ventas</t>
  </si>
  <si>
    <t>Inflación Media</t>
  </si>
  <si>
    <t>Precio de ENERO-Marzo</t>
  </si>
  <si>
    <t>Precio Abril-Septiembre</t>
  </si>
  <si>
    <t>Precio Octubre-Diciembre</t>
  </si>
  <si>
    <t xml:space="preserve">Inflación 2016 </t>
  </si>
  <si>
    <t>Precio de Venta 2016</t>
  </si>
  <si>
    <t>General Manager</t>
  </si>
  <si>
    <t>Marketing Manager</t>
  </si>
  <si>
    <t>Comercial Manager</t>
  </si>
  <si>
    <t>Febrero</t>
  </si>
  <si>
    <t>Marzo</t>
  </si>
  <si>
    <t>Mayo</t>
  </si>
  <si>
    <t>Septiembre</t>
  </si>
  <si>
    <t>Diciembre</t>
  </si>
  <si>
    <t>Precio de Venta 2017</t>
  </si>
  <si>
    <t>Precio de Venta 2018</t>
  </si>
  <si>
    <t>Inflación 2017</t>
  </si>
  <si>
    <t>Inflación 2018</t>
  </si>
  <si>
    <t>Total Ventas Años</t>
  </si>
  <si>
    <t>ESTADO DE RESULTADOS PARA LOS DOCE (12) MESES TERMINADOS EL 31 DE DICIEMBRE DE 2017</t>
  </si>
  <si>
    <t>ESTADO DE RESULTADOS PARA LOS DOCE (12) MESES TERMINADOS EL 31 DE DICIEMBRE DE 2018</t>
  </si>
  <si>
    <t>Activos</t>
  </si>
  <si>
    <t>Activo Corriente</t>
  </si>
  <si>
    <t>Depreciación</t>
  </si>
  <si>
    <t>Activo no Corriente</t>
  </si>
  <si>
    <t>Total Activo</t>
  </si>
  <si>
    <t>Pasivos</t>
  </si>
  <si>
    <t>Impuestos Por Pagar</t>
  </si>
  <si>
    <t>Pasivo Corriente</t>
  </si>
  <si>
    <t>Total Pasivo</t>
  </si>
  <si>
    <t>Capital</t>
  </si>
  <si>
    <t>Total Patrimonio</t>
  </si>
  <si>
    <t>Total Pasivo + Patrimonio</t>
  </si>
  <si>
    <t>Balance General 2016</t>
  </si>
  <si>
    <t>Balance General 2017</t>
  </si>
  <si>
    <t>Balance General 2018</t>
  </si>
  <si>
    <t>Resultado del ejercicio</t>
  </si>
  <si>
    <t>Carga prestacional</t>
  </si>
  <si>
    <t>Aportes Parafiscales</t>
  </si>
  <si>
    <t>Prestaciones Sociales</t>
  </si>
  <si>
    <t>Cesantias</t>
  </si>
  <si>
    <t xml:space="preserve">Intereses sobre cesantias </t>
  </si>
  <si>
    <t>Primas</t>
  </si>
  <si>
    <t>Vacaciones</t>
  </si>
  <si>
    <t xml:space="preserve">Salud </t>
  </si>
  <si>
    <t xml:space="preserve">Pensión </t>
  </si>
  <si>
    <t>ARL</t>
  </si>
  <si>
    <t>Total Carga Prestacional</t>
  </si>
  <si>
    <t>Presupuesto de Mano de Obra Directa</t>
  </si>
  <si>
    <t>SMMLV (Salario Mínimo)</t>
  </si>
  <si>
    <t>Auxilio de Transporte</t>
  </si>
  <si>
    <t># Salarios Mínimos</t>
  </si>
  <si>
    <t>Sueldo</t>
  </si>
  <si>
    <t xml:space="preserve">Carga Prestacional </t>
  </si>
  <si>
    <t>Total Salario</t>
  </si>
  <si>
    <t>Gastos por Honorarios Accountant</t>
  </si>
  <si>
    <t>Gastos por Honorarios Technical A.</t>
  </si>
  <si>
    <t>Gastos de dominio &amp; hosting de la página web</t>
  </si>
  <si>
    <t>Gastos de Servicios de Telecomunicaciones</t>
  </si>
  <si>
    <t>Equipos de cómputo unitario</t>
  </si>
  <si>
    <t>Equipos de cómputo acumulado</t>
  </si>
  <si>
    <t>3 unidades</t>
  </si>
  <si>
    <t>Depreaciación mensual</t>
  </si>
  <si>
    <t>Depreciación anual</t>
  </si>
  <si>
    <t>Impuesto a la Cree</t>
  </si>
  <si>
    <t>Impuesto a la Renta</t>
  </si>
  <si>
    <t>Equipos de Computo</t>
  </si>
  <si>
    <t>Caja Bancos</t>
  </si>
  <si>
    <t>FLUJO DE CAJA</t>
  </si>
  <si>
    <t>INGRESOS</t>
  </si>
  <si>
    <t>Recaudo de ventas</t>
  </si>
  <si>
    <t>TOTAL INGRESOS</t>
  </si>
  <si>
    <t>EGRESOS</t>
  </si>
  <si>
    <t>TOTAL EGRESOS</t>
  </si>
  <si>
    <t>Saldo Anterior</t>
  </si>
  <si>
    <t>FLUJO NETO DE CAJA</t>
  </si>
  <si>
    <t>Proveedores</t>
  </si>
  <si>
    <t>Cantidades Recibidas</t>
  </si>
  <si>
    <t>Costo Unitario</t>
  </si>
  <si>
    <t xml:space="preserve">Total </t>
  </si>
  <si>
    <t>Producto</t>
  </si>
  <si>
    <t>Proveedor</t>
  </si>
  <si>
    <t>Shenzhen from China</t>
  </si>
  <si>
    <t>precio de venta und</t>
  </si>
  <si>
    <t>19.3 * 6.5 cm</t>
  </si>
  <si>
    <t>Tarifa de trasporte</t>
  </si>
  <si>
    <t>Aranceles</t>
  </si>
  <si>
    <t>COP</t>
  </si>
  <si>
    <t>Unitario</t>
  </si>
  <si>
    <t># de unidades</t>
  </si>
  <si>
    <t>Dolares</t>
  </si>
  <si>
    <t>Botella de 400 ml libre de BPA</t>
  </si>
  <si>
    <t xml:space="preserve">0,99 dólares </t>
  </si>
  <si>
    <t>Tamano del producto</t>
  </si>
  <si>
    <t>Dólar en COP</t>
  </si>
  <si>
    <t>Valor Final</t>
  </si>
  <si>
    <t>Total Unitario</t>
  </si>
  <si>
    <t>Sobre el precio de compra</t>
  </si>
  <si>
    <t>Características del producto</t>
  </si>
  <si>
    <t>Flete</t>
  </si>
  <si>
    <t>IVA</t>
  </si>
  <si>
    <t>IVA 16%</t>
  </si>
  <si>
    <t>Aranceles 15%</t>
  </si>
  <si>
    <t>Gastos de terminal</t>
  </si>
  <si>
    <t>Formalidades aduaneras</t>
  </si>
  <si>
    <t>Transporte interno</t>
  </si>
  <si>
    <t>Gastos de Marketing</t>
  </si>
  <si>
    <t>Seguro</t>
  </si>
  <si>
    <t>USD</t>
  </si>
  <si>
    <t>Precio de compra al proveedor</t>
  </si>
  <si>
    <t xml:space="preserve">Gastos de terminal </t>
  </si>
  <si>
    <t xml:space="preserve">Formalidades aduaneras </t>
  </si>
  <si>
    <t xml:space="preserve">Transporte interno </t>
  </si>
  <si>
    <t xml:space="preserve">Seguro </t>
  </si>
  <si>
    <t>Sobre el costo del producto</t>
  </si>
  <si>
    <t>Ingreso Inicial</t>
  </si>
  <si>
    <t>Gastos Marketing</t>
  </si>
  <si>
    <t>Impuestos</t>
  </si>
  <si>
    <t>Computadores</t>
  </si>
  <si>
    <t>Cuentas por cobrar</t>
  </si>
  <si>
    <t>Resultado de ejercicios anteriores</t>
  </si>
  <si>
    <t>Punto de vista Pesimista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</si>
</sst>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\ * #,##0.00_);_(&quot;$&quot;\ * \(#,##0.00\);_(&quot;$&quot;\ * &quot;-&quot;??_);_(@_)"/>
    <numFmt numFmtId="165" formatCode="#,##0\ ;\(#,##0\)"/>
    <numFmt numFmtId="166" formatCode="_(* #,##0_);_(* \(#,##0\);_(* &quot;-&quot;??_);_(@_)"/>
    <numFmt numFmtId="167" formatCode="_-* #,##0.00\ _€_-;\-* #,##0.00\ _€_-;_-* &quot;-&quot;??\ _€_-;_-@_-"/>
    <numFmt numFmtId="168" formatCode="_-* #,##0\ _€_-;\-* #,##0\ _€_-;_-* &quot;-&quot;??\ _€_-;_-@_-"/>
    <numFmt numFmtId="169" formatCode="_-&quot;$&quot;* #,##0_-;\-&quot;$&quot;* #,##0_-;_-&quot;$&quot;* &quot;-&quot;??_-;_-@_-"/>
    <numFmt numFmtId="170" formatCode="_(&quot;$&quot;* #,##0_);_(&quot;$&quot;* \(#,##0\);_(&quot;$&quot;* &quot;-&quot;??_);_(@_)"/>
    <numFmt numFmtId="171" formatCode="0.000%"/>
    <numFmt numFmtId="172" formatCode="0.0%"/>
    <numFmt numFmtId="173" formatCode="0.0"/>
    <numFmt numFmtId="174" formatCode="_-* #,##0.00_-;\-* #,##0.00_-;_-* &quot;-&quot;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u/>
      <sz val="12"/>
      <color theme="1"/>
      <name val="Calibri"/>
      <family val="2"/>
    </font>
    <font>
      <u val="singleAccounting"/>
      <sz val="12"/>
      <color theme="1"/>
      <name val="Calibri"/>
      <family val="2"/>
    </font>
    <font>
      <b/>
      <u/>
      <sz val="12"/>
      <color theme="1"/>
      <name val="Calibri"/>
      <family val="2"/>
    </font>
    <font>
      <sz val="11"/>
      <color theme="1"/>
      <name val="Calibri"/>
      <family val="2"/>
    </font>
    <font>
      <b/>
      <sz val="11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10">
    <xf numFmtId="0" fontId="0" fillId="0" borderId="0" xfId="0"/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165" fontId="5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165" fontId="6" fillId="0" borderId="0" xfId="0" applyNumberFormat="1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166" fontId="5" fillId="0" borderId="1" xfId="1" applyNumberFormat="1" applyFont="1" applyFill="1" applyBorder="1" applyAlignment="1">
      <alignment vertical="center"/>
    </xf>
    <xf numFmtId="166" fontId="5" fillId="0" borderId="0" xfId="1" applyNumberFormat="1" applyFont="1" applyFill="1" applyBorder="1" applyAlignment="1">
      <alignment vertical="center"/>
    </xf>
    <xf numFmtId="166" fontId="5" fillId="0" borderId="0" xfId="0" applyNumberFormat="1" applyFont="1" applyFill="1" applyAlignment="1">
      <alignment vertical="center"/>
    </xf>
    <xf numFmtId="1" fontId="6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166" fontId="5" fillId="0" borderId="0" xfId="0" applyNumberFormat="1" applyFont="1" applyFill="1" applyBorder="1" applyAlignment="1">
      <alignment vertical="center"/>
    </xf>
    <xf numFmtId="166" fontId="6" fillId="0" borderId="1" xfId="0" applyNumberFormat="1" applyFont="1" applyFill="1" applyBorder="1" applyAlignment="1">
      <alignment vertical="center"/>
    </xf>
    <xf numFmtId="166" fontId="6" fillId="0" borderId="0" xfId="0" applyNumberFormat="1" applyFont="1" applyFill="1" applyAlignment="1">
      <alignment vertical="center"/>
    </xf>
    <xf numFmtId="166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vertical="center"/>
    </xf>
    <xf numFmtId="42" fontId="0" fillId="0" borderId="0" xfId="3" applyFont="1"/>
    <xf numFmtId="0" fontId="2" fillId="0" borderId="0" xfId="0" applyFont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3" xfId="5" applyNumberFormat="1" applyFont="1" applyBorder="1" applyAlignment="1">
      <alignment horizontal="center" vertical="center"/>
    </xf>
    <xf numFmtId="168" fontId="0" fillId="0" borderId="3" xfId="5" applyNumberFormat="1" applyFont="1" applyBorder="1" applyAlignment="1">
      <alignment horizontal="center" vertical="center"/>
    </xf>
    <xf numFmtId="10" fontId="0" fillId="0" borderId="0" xfId="0" applyNumberFormat="1"/>
    <xf numFmtId="169" fontId="0" fillId="0" borderId="0" xfId="2" applyNumberFormat="1" applyFont="1"/>
    <xf numFmtId="42" fontId="0" fillId="0" borderId="0" xfId="0" applyNumberFormat="1"/>
    <xf numFmtId="0" fontId="2" fillId="0" borderId="0" xfId="0" applyFont="1"/>
    <xf numFmtId="0" fontId="3" fillId="0" borderId="0" xfId="0" applyFont="1"/>
    <xf numFmtId="0" fontId="2" fillId="0" borderId="3" xfId="0" applyFont="1" applyFill="1" applyBorder="1" applyAlignment="1">
      <alignment horizontal="center" vertical="center"/>
    </xf>
    <xf numFmtId="0" fontId="9" fillId="2" borderId="0" xfId="0" applyFont="1" applyFill="1"/>
    <xf numFmtId="44" fontId="10" fillId="0" borderId="0" xfId="2" applyFont="1"/>
    <xf numFmtId="0" fontId="10" fillId="0" borderId="0" xfId="0" applyFont="1"/>
    <xf numFmtId="0" fontId="9" fillId="0" borderId="0" xfId="0" applyFont="1"/>
    <xf numFmtId="170" fontId="10" fillId="0" borderId="0" xfId="2" applyNumberFormat="1" applyFont="1"/>
    <xf numFmtId="0" fontId="11" fillId="0" borderId="0" xfId="0" applyFont="1"/>
    <xf numFmtId="170" fontId="11" fillId="0" borderId="0" xfId="2" applyNumberFormat="1" applyFont="1"/>
    <xf numFmtId="170" fontId="12" fillId="0" borderId="0" xfId="2" applyNumberFormat="1" applyFont="1"/>
    <xf numFmtId="0" fontId="13" fillId="3" borderId="0" xfId="0" applyFont="1" applyFill="1"/>
    <xf numFmtId="170" fontId="13" fillId="3" borderId="0" xfId="2" applyNumberFormat="1" applyFont="1" applyFill="1"/>
    <xf numFmtId="170" fontId="9" fillId="0" borderId="0" xfId="2" applyNumberFormat="1" applyFont="1"/>
    <xf numFmtId="0" fontId="14" fillId="0" borderId="0" xfId="0" applyFont="1"/>
    <xf numFmtId="9" fontId="0" fillId="0" borderId="0" xfId="0" applyNumberFormat="1"/>
    <xf numFmtId="10" fontId="0" fillId="0" borderId="0" xfId="4" applyNumberFormat="1" applyFont="1"/>
    <xf numFmtId="9" fontId="0" fillId="0" borderId="0" xfId="4" applyFont="1"/>
    <xf numFmtId="171" fontId="0" fillId="0" borderId="0" xfId="4" applyNumberFormat="1" applyFont="1"/>
    <xf numFmtId="171" fontId="0" fillId="0" borderId="0" xfId="0" applyNumberFormat="1"/>
    <xf numFmtId="169" fontId="0" fillId="0" borderId="0" xfId="0" applyNumberFormat="1"/>
    <xf numFmtId="0" fontId="3" fillId="0" borderId="0" xfId="0" applyFont="1" applyFill="1"/>
    <xf numFmtId="0" fontId="0" fillId="0" borderId="0" xfId="0" applyFill="1"/>
    <xf numFmtId="44" fontId="3" fillId="0" borderId="0" xfId="2" applyFont="1" applyFill="1"/>
    <xf numFmtId="44" fontId="0" fillId="0" borderId="0" xfId="0" applyNumberFormat="1"/>
    <xf numFmtId="9" fontId="6" fillId="0" borderId="0" xfId="4" applyFont="1" applyFill="1" applyAlignment="1">
      <alignment vertical="center"/>
    </xf>
    <xf numFmtId="170" fontId="14" fillId="0" borderId="0" xfId="0" applyNumberFormat="1" applyFont="1"/>
    <xf numFmtId="169" fontId="10" fillId="0" borderId="0" xfId="2" applyNumberFormat="1" applyFont="1"/>
    <xf numFmtId="0" fontId="0" fillId="0" borderId="3" xfId="0" applyBorder="1"/>
    <xf numFmtId="0" fontId="3" fillId="4" borderId="3" xfId="0" applyFont="1" applyFill="1" applyBorder="1" applyAlignment="1">
      <alignment horizontal="center"/>
    </xf>
    <xf numFmtId="0" fontId="4" fillId="5" borderId="3" xfId="0" applyFont="1" applyFill="1" applyBorder="1"/>
    <xf numFmtId="168" fontId="3" fillId="0" borderId="0" xfId="0" applyNumberFormat="1" applyFont="1"/>
    <xf numFmtId="0" fontId="15" fillId="0" borderId="0" xfId="0" applyFont="1"/>
    <xf numFmtId="0" fontId="3" fillId="3" borderId="0" xfId="0" applyFont="1" applyFill="1"/>
    <xf numFmtId="0" fontId="0" fillId="3" borderId="0" xfId="0" applyFill="1"/>
    <xf numFmtId="0" fontId="0" fillId="3" borderId="3" xfId="0" applyFill="1" applyBorder="1"/>
    <xf numFmtId="169" fontId="0" fillId="3" borderId="3" xfId="2" applyNumberFormat="1" applyFont="1" applyFill="1" applyBorder="1"/>
    <xf numFmtId="0" fontId="15" fillId="3" borderId="3" xfId="0" applyFont="1" applyFill="1" applyBorder="1"/>
    <xf numFmtId="169" fontId="0" fillId="3" borderId="3" xfId="0" applyNumberFormat="1" applyFill="1" applyBorder="1"/>
    <xf numFmtId="0" fontId="3" fillId="6" borderId="0" xfId="0" applyFont="1" applyFill="1"/>
    <xf numFmtId="0" fontId="0" fillId="6" borderId="0" xfId="0" applyFill="1"/>
    <xf numFmtId="0" fontId="0" fillId="6" borderId="3" xfId="0" applyFill="1" applyBorder="1"/>
    <xf numFmtId="169" fontId="0" fillId="6" borderId="3" xfId="2" applyNumberFormat="1" applyFont="1" applyFill="1" applyBorder="1"/>
    <xf numFmtId="0" fontId="15" fillId="6" borderId="3" xfId="0" applyFont="1" applyFill="1" applyBorder="1"/>
    <xf numFmtId="169" fontId="0" fillId="6" borderId="3" xfId="0" applyNumberFormat="1" applyFill="1" applyBorder="1"/>
    <xf numFmtId="0" fontId="4" fillId="0" borderId="3" xfId="0" applyFont="1" applyFill="1" applyBorder="1"/>
    <xf numFmtId="169" fontId="0" fillId="0" borderId="3" xfId="0" applyNumberFormat="1" applyBorder="1"/>
    <xf numFmtId="0" fontId="3" fillId="0" borderId="3" xfId="0" applyFont="1" applyBorder="1"/>
    <xf numFmtId="0" fontId="5" fillId="6" borderId="3" xfId="0" applyFont="1" applyFill="1" applyBorder="1" applyAlignment="1">
      <alignment vertical="center"/>
    </xf>
    <xf numFmtId="42" fontId="0" fillId="0" borderId="3" xfId="3" applyFont="1" applyBorder="1"/>
    <xf numFmtId="0" fontId="0" fillId="7" borderId="0" xfId="0" applyFill="1"/>
    <xf numFmtId="0" fontId="0" fillId="8" borderId="0" xfId="0" applyFill="1"/>
    <xf numFmtId="44" fontId="0" fillId="8" borderId="0" xfId="2" applyFont="1" applyFill="1"/>
    <xf numFmtId="0" fontId="0" fillId="0" borderId="0" xfId="0" applyFill="1" applyBorder="1"/>
    <xf numFmtId="9" fontId="0" fillId="0" borderId="0" xfId="0" applyNumberFormat="1" applyFill="1"/>
    <xf numFmtId="0" fontId="2" fillId="0" borderId="0" xfId="0" applyFont="1" applyFill="1"/>
    <xf numFmtId="172" fontId="0" fillId="0" borderId="0" xfId="0" applyNumberFormat="1"/>
    <xf numFmtId="9" fontId="0" fillId="0" borderId="0" xfId="0" applyNumberFormat="1" applyFill="1" applyBorder="1"/>
    <xf numFmtId="0" fontId="0" fillId="0" borderId="0" xfId="0" applyFill="1" applyBorder="1" applyAlignment="1">
      <alignment horizontal="center"/>
    </xf>
    <xf numFmtId="44" fontId="0" fillId="0" borderId="0" xfId="2" applyFont="1" applyFill="1" applyBorder="1"/>
    <xf numFmtId="169" fontId="0" fillId="0" borderId="0" xfId="2" applyNumberFormat="1" applyFont="1" applyFill="1" applyBorder="1"/>
    <xf numFmtId="0" fontId="0" fillId="0" borderId="0" xfId="0" applyFont="1" applyFill="1" applyBorder="1"/>
    <xf numFmtId="172" fontId="0" fillId="0" borderId="0" xfId="0" applyNumberFormat="1" applyFill="1" applyBorder="1"/>
    <xf numFmtId="164" fontId="0" fillId="0" borderId="0" xfId="0" applyNumberFormat="1" applyFill="1" applyBorder="1"/>
    <xf numFmtId="0" fontId="2" fillId="0" borderId="0" xfId="0" applyFont="1" applyFill="1" applyBorder="1"/>
    <xf numFmtId="0" fontId="3" fillId="0" borderId="0" xfId="0" applyFont="1" applyFill="1" applyBorder="1" applyAlignment="1">
      <alignment horizontal="center"/>
    </xf>
    <xf numFmtId="1" fontId="0" fillId="0" borderId="0" xfId="0" applyNumberFormat="1"/>
    <xf numFmtId="173" fontId="0" fillId="0" borderId="0" xfId="0" applyNumberFormat="1" applyFill="1" applyBorder="1"/>
    <xf numFmtId="0" fontId="0" fillId="3" borderId="3" xfId="0" applyFont="1" applyFill="1" applyBorder="1"/>
    <xf numFmtId="42" fontId="0" fillId="3" borderId="3" xfId="3" applyFont="1" applyFill="1" applyBorder="1"/>
    <xf numFmtId="174" fontId="14" fillId="0" borderId="0" xfId="6" applyNumberFormat="1" applyFont="1"/>
    <xf numFmtId="166" fontId="0" fillId="0" borderId="0" xfId="0" applyNumberFormat="1"/>
    <xf numFmtId="0" fontId="3" fillId="0" borderId="0" xfId="0" applyFont="1" applyBorder="1"/>
    <xf numFmtId="0" fontId="0" fillId="0" borderId="0" xfId="0" applyBorder="1"/>
    <xf numFmtId="0" fontId="2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" fontId="0" fillId="0" borderId="0" xfId="5" applyNumberFormat="1" applyFont="1" applyBorder="1" applyAlignment="1">
      <alignment horizontal="center" vertical="center"/>
    </xf>
    <xf numFmtId="168" fontId="0" fillId="0" borderId="0" xfId="5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68" fontId="0" fillId="0" borderId="0" xfId="0" applyNumberFormat="1" applyBorder="1"/>
    <xf numFmtId="0" fontId="0" fillId="0" borderId="0" xfId="5" applyNumberFormat="1" applyFont="1" applyBorder="1" applyAlignment="1">
      <alignment horizontal="center" vertical="center"/>
    </xf>
  </cellXfs>
  <cellStyles count="7">
    <cellStyle name="Millares" xfId="1" builtinId="3"/>
    <cellStyle name="Millares [0]" xfId="6" builtinId="6"/>
    <cellStyle name="Millares 2" xfId="5"/>
    <cellStyle name="Moneda" xfId="2" builtinId="4"/>
    <cellStyle name="Moneda [0]" xfId="3" builtinId="7"/>
    <cellStyle name="Normal" xfId="0" builtinId="0"/>
    <cellStyle name="Porcentaje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H20" sqref="H20"/>
    </sheetView>
  </sheetViews>
  <sheetFormatPr baseColWidth="10" defaultRowHeight="15" x14ac:dyDescent="0.25"/>
  <cols>
    <col min="1" max="1" width="29.5703125" bestFit="1" customWidth="1"/>
    <col min="4" max="4" width="24.28515625" bestFit="1" customWidth="1"/>
    <col min="7" max="7" width="24.28515625" bestFit="1" customWidth="1"/>
  </cols>
  <sheetData>
    <row r="1" spans="1:8" x14ac:dyDescent="0.25">
      <c r="A1" t="s">
        <v>35</v>
      </c>
      <c r="B1" s="24">
        <v>7.5999999999999998E-2</v>
      </c>
      <c r="D1" t="s">
        <v>47</v>
      </c>
      <c r="E1" s="24">
        <v>0.08</v>
      </c>
      <c r="G1" t="s">
        <v>48</v>
      </c>
      <c r="H1" s="24">
        <v>7.0000000000000007E-2</v>
      </c>
    </row>
    <row r="2" spans="1:8" x14ac:dyDescent="0.25">
      <c r="A2" t="s">
        <v>31</v>
      </c>
      <c r="B2" s="24">
        <f>+B1/2</f>
        <v>3.7999999999999999E-2</v>
      </c>
      <c r="D2" t="s">
        <v>31</v>
      </c>
      <c r="E2" s="24">
        <f>+E1/2</f>
        <v>0.04</v>
      </c>
      <c r="G2" t="s">
        <v>31</v>
      </c>
      <c r="H2" s="24">
        <f>+H1/2</f>
        <v>3.5000000000000003E-2</v>
      </c>
    </row>
    <row r="4" spans="1:8" x14ac:dyDescent="0.25">
      <c r="A4" t="s">
        <v>36</v>
      </c>
      <c r="B4" s="25">
        <v>30000</v>
      </c>
      <c r="D4" t="s">
        <v>45</v>
      </c>
      <c r="E4" s="25">
        <f>B7</f>
        <v>32280</v>
      </c>
      <c r="G4" t="s">
        <v>46</v>
      </c>
      <c r="H4" s="25">
        <f>E7</f>
        <v>34862.400000000001</v>
      </c>
    </row>
    <row r="5" spans="1:8" x14ac:dyDescent="0.25">
      <c r="A5" t="s">
        <v>32</v>
      </c>
      <c r="B5" s="25">
        <f>B4</f>
        <v>30000</v>
      </c>
      <c r="D5" t="s">
        <v>32</v>
      </c>
      <c r="E5" s="25">
        <f>E4</f>
        <v>32280</v>
      </c>
      <c r="G5" t="s">
        <v>32</v>
      </c>
      <c r="H5" s="25">
        <f>H4</f>
        <v>34862.400000000001</v>
      </c>
    </row>
    <row r="6" spans="1:8" x14ac:dyDescent="0.25">
      <c r="A6" t="s">
        <v>33</v>
      </c>
      <c r="B6" s="25">
        <f>B4+(B4*B2)</f>
        <v>31140</v>
      </c>
      <c r="D6" t="s">
        <v>33</v>
      </c>
      <c r="E6" s="25">
        <f>E4+(E4*E2)</f>
        <v>33571.199999999997</v>
      </c>
      <c r="G6" t="s">
        <v>33</v>
      </c>
      <c r="H6" s="25">
        <f>H4+(H4*H2)</f>
        <v>36082.584000000003</v>
      </c>
    </row>
    <row r="7" spans="1:8" x14ac:dyDescent="0.25">
      <c r="A7" t="s">
        <v>34</v>
      </c>
      <c r="B7" s="25">
        <f>+B4+(B4*B1)</f>
        <v>32280</v>
      </c>
      <c r="D7" t="s">
        <v>34</v>
      </c>
      <c r="E7" s="25">
        <f>+E4+(E4*E1)</f>
        <v>34862.400000000001</v>
      </c>
      <c r="G7" t="s">
        <v>34</v>
      </c>
      <c r="H7" s="25">
        <f>+H4+(H4*H1)</f>
        <v>37302.768000000004</v>
      </c>
    </row>
    <row r="10" spans="1:8" x14ac:dyDescent="0.25">
      <c r="A10" s="17" t="s">
        <v>90</v>
      </c>
      <c r="B10" s="17">
        <v>900000</v>
      </c>
    </row>
    <row r="11" spans="1:8" x14ac:dyDescent="0.25">
      <c r="A11" s="17" t="s">
        <v>54</v>
      </c>
      <c r="B11" s="17">
        <f>B10/60</f>
        <v>15000</v>
      </c>
    </row>
    <row r="12" spans="1:8" x14ac:dyDescent="0.25">
      <c r="A12" s="17" t="s">
        <v>94</v>
      </c>
      <c r="B12" s="17">
        <f>B11*12</f>
        <v>180000</v>
      </c>
    </row>
    <row r="13" spans="1:8" x14ac:dyDescent="0.25">
      <c r="B13" s="17"/>
    </row>
    <row r="14" spans="1:8" x14ac:dyDescent="0.25">
      <c r="A14" t="s">
        <v>91</v>
      </c>
      <c r="B14" s="17">
        <f>B10*3</f>
        <v>2700000</v>
      </c>
      <c r="C14" t="s">
        <v>92</v>
      </c>
    </row>
    <row r="15" spans="1:8" x14ac:dyDescent="0.25">
      <c r="A15" t="s">
        <v>93</v>
      </c>
      <c r="B15" s="17">
        <f>B14/60</f>
        <v>45000</v>
      </c>
    </row>
    <row r="16" spans="1:8" x14ac:dyDescent="0.25">
      <c r="A16" t="s">
        <v>94</v>
      </c>
      <c r="B16" s="26">
        <f>B15*12</f>
        <v>540000</v>
      </c>
    </row>
    <row r="18" spans="1:8" x14ac:dyDescent="0.25">
      <c r="A18" s="28" t="s">
        <v>107</v>
      </c>
    </row>
    <row r="19" spans="1:8" x14ac:dyDescent="0.25">
      <c r="A19" t="s">
        <v>35</v>
      </c>
      <c r="B19" s="24">
        <v>7.5999999999999998E-2</v>
      </c>
      <c r="D19" t="s">
        <v>47</v>
      </c>
      <c r="E19" s="24">
        <v>0.08</v>
      </c>
      <c r="G19" t="s">
        <v>48</v>
      </c>
      <c r="H19" s="24">
        <v>7.0000000000000007E-2</v>
      </c>
    </row>
    <row r="20" spans="1:8" x14ac:dyDescent="0.25">
      <c r="A20" t="s">
        <v>31</v>
      </c>
      <c r="B20" s="24">
        <f>+B19/2</f>
        <v>3.7999999999999999E-2</v>
      </c>
      <c r="D20" t="s">
        <v>31</v>
      </c>
      <c r="E20" s="24">
        <f>+E19/2</f>
        <v>0.04</v>
      </c>
      <c r="G20" t="s">
        <v>31</v>
      </c>
      <c r="H20" s="24">
        <f>+H19/2</f>
        <v>3.5000000000000003E-2</v>
      </c>
    </row>
    <row r="22" spans="1:8" x14ac:dyDescent="0.25">
      <c r="A22" t="s">
        <v>36</v>
      </c>
      <c r="B22" s="25">
        <f>Proveedores!E20</f>
        <v>11876.436771456896</v>
      </c>
      <c r="D22" t="s">
        <v>45</v>
      </c>
      <c r="E22" s="25">
        <f>B25</f>
        <v>12779.04596608762</v>
      </c>
      <c r="G22" t="s">
        <v>46</v>
      </c>
      <c r="H22" s="25">
        <f>E25</f>
        <v>13801.36964337463</v>
      </c>
    </row>
    <row r="23" spans="1:8" x14ac:dyDescent="0.25">
      <c r="A23" t="s">
        <v>32</v>
      </c>
      <c r="B23" s="25">
        <f>B22</f>
        <v>11876.436771456896</v>
      </c>
      <c r="D23" t="s">
        <v>32</v>
      </c>
      <c r="E23" s="25">
        <f>E22</f>
        <v>12779.04596608762</v>
      </c>
      <c r="G23" t="s">
        <v>32</v>
      </c>
      <c r="H23" s="25">
        <f>H22</f>
        <v>13801.36964337463</v>
      </c>
    </row>
    <row r="24" spans="1:8" x14ac:dyDescent="0.25">
      <c r="A24" t="s">
        <v>33</v>
      </c>
      <c r="B24" s="25">
        <f>B22+(B22*B20)</f>
        <v>12327.741368772258</v>
      </c>
      <c r="D24" t="s">
        <v>33</v>
      </c>
      <c r="E24" s="25">
        <f>E22+(E22*E20)</f>
        <v>13290.207804731126</v>
      </c>
      <c r="G24" t="s">
        <v>33</v>
      </c>
      <c r="H24" s="25">
        <f>H22+(H22*H20)</f>
        <v>14284.417580892743</v>
      </c>
    </row>
    <row r="25" spans="1:8" x14ac:dyDescent="0.25">
      <c r="A25" t="s">
        <v>34</v>
      </c>
      <c r="B25" s="25">
        <f>+B22+(B22*B19)</f>
        <v>12779.04596608762</v>
      </c>
      <c r="D25" t="s">
        <v>34</v>
      </c>
      <c r="E25" s="25">
        <f>+E22+(E22*E19)</f>
        <v>13801.36964337463</v>
      </c>
      <c r="G25" t="s">
        <v>34</v>
      </c>
      <c r="H25" s="25">
        <f>+H22+(H22*H19)</f>
        <v>14767.465518410854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L28"/>
  <sheetViews>
    <sheetView tabSelected="1" workbookViewId="0">
      <selection activeCell="A3" sqref="A3"/>
    </sheetView>
  </sheetViews>
  <sheetFormatPr baseColWidth="10" defaultRowHeight="15" x14ac:dyDescent="0.25"/>
  <cols>
    <col min="1" max="1" width="22.85546875" bestFit="1" customWidth="1"/>
    <col min="2" max="13" width="14" bestFit="1" customWidth="1"/>
    <col min="14" max="24" width="13" bestFit="1" customWidth="1"/>
    <col min="25" max="25" width="14" bestFit="1" customWidth="1"/>
    <col min="26" max="36" width="13" bestFit="1" customWidth="1"/>
    <col min="37" max="37" width="14" bestFit="1" customWidth="1"/>
  </cols>
  <sheetData>
    <row r="2" spans="1:38" x14ac:dyDescent="0.25">
      <c r="A2" s="28" t="s">
        <v>152</v>
      </c>
    </row>
    <row r="4" spans="1:38" x14ac:dyDescent="0.25">
      <c r="B4" s="18">
        <v>2016</v>
      </c>
      <c r="N4" s="18">
        <v>2017</v>
      </c>
      <c r="Z4" s="18">
        <v>2018</v>
      </c>
    </row>
    <row r="5" spans="1:38" x14ac:dyDescent="0.25">
      <c r="A5" s="19"/>
      <c r="B5" s="19" t="s">
        <v>15</v>
      </c>
      <c r="C5" s="19" t="s">
        <v>16</v>
      </c>
      <c r="D5" s="19" t="s">
        <v>17</v>
      </c>
      <c r="E5" s="19" t="s">
        <v>18</v>
      </c>
      <c r="F5" s="19" t="s">
        <v>19</v>
      </c>
      <c r="G5" s="19" t="s">
        <v>20</v>
      </c>
      <c r="H5" s="19" t="s">
        <v>21</v>
      </c>
      <c r="I5" s="19" t="s">
        <v>22</v>
      </c>
      <c r="J5" s="19" t="s">
        <v>23</v>
      </c>
      <c r="K5" s="19" t="s">
        <v>24</v>
      </c>
      <c r="L5" s="19" t="s">
        <v>25</v>
      </c>
      <c r="M5" s="19" t="s">
        <v>26</v>
      </c>
      <c r="N5" s="20" t="s">
        <v>27</v>
      </c>
      <c r="O5" s="19" t="s">
        <v>40</v>
      </c>
      <c r="P5" s="19" t="s">
        <v>41</v>
      </c>
      <c r="Q5" s="20" t="s">
        <v>18</v>
      </c>
      <c r="R5" s="19" t="s">
        <v>42</v>
      </c>
      <c r="S5" s="19" t="s">
        <v>20</v>
      </c>
      <c r="T5" s="20" t="s">
        <v>21</v>
      </c>
      <c r="U5" s="19" t="s">
        <v>22</v>
      </c>
      <c r="V5" s="19" t="s">
        <v>43</v>
      </c>
      <c r="W5" s="20" t="s">
        <v>24</v>
      </c>
      <c r="X5" s="19" t="s">
        <v>25</v>
      </c>
      <c r="Y5" s="19" t="s">
        <v>44</v>
      </c>
      <c r="Z5" s="20" t="s">
        <v>27</v>
      </c>
      <c r="AA5" s="19" t="s">
        <v>40</v>
      </c>
      <c r="AB5" s="19" t="s">
        <v>41</v>
      </c>
      <c r="AC5" s="20" t="s">
        <v>18</v>
      </c>
      <c r="AD5" s="19" t="s">
        <v>42</v>
      </c>
      <c r="AE5" s="19" t="s">
        <v>20</v>
      </c>
      <c r="AF5" s="20" t="s">
        <v>21</v>
      </c>
      <c r="AG5" s="19" t="s">
        <v>22</v>
      </c>
      <c r="AH5" s="19" t="s">
        <v>43</v>
      </c>
      <c r="AI5" s="20" t="s">
        <v>24</v>
      </c>
      <c r="AJ5" s="19" t="s">
        <v>25</v>
      </c>
      <c r="AK5" s="19" t="s">
        <v>44</v>
      </c>
      <c r="AL5" s="20" t="s">
        <v>27</v>
      </c>
    </row>
    <row r="6" spans="1:38" x14ac:dyDescent="0.25">
      <c r="A6" s="21" t="s">
        <v>28</v>
      </c>
      <c r="B6" s="22">
        <v>290</v>
      </c>
      <c r="C6" s="22">
        <f>ROUNDUP(B6*1.01,0)</f>
        <v>293</v>
      </c>
      <c r="D6" s="22">
        <f>ROUNDUP(C6*1.001,0)</f>
        <v>294</v>
      </c>
      <c r="E6" s="22">
        <f>ROUNDUP(D6*0.98,0)</f>
        <v>289</v>
      </c>
      <c r="F6" s="22">
        <f t="shared" ref="F6" si="0">ROUNDUP(E6*1.01,0)</f>
        <v>292</v>
      </c>
      <c r="G6" s="22">
        <f t="shared" ref="G6" si="1">ROUNDUP(F6*1.001,0)</f>
        <v>293</v>
      </c>
      <c r="H6" s="22">
        <f t="shared" ref="H6" si="2">ROUNDUP(G6*0.99,0)</f>
        <v>291</v>
      </c>
      <c r="I6" s="22">
        <f t="shared" ref="I6" si="3">ROUNDUP(H6*1.01,0)</f>
        <v>294</v>
      </c>
      <c r="J6" s="22">
        <f t="shared" ref="J6" si="4">ROUNDUP(I6*1.001,0)</f>
        <v>295</v>
      </c>
      <c r="K6" s="22">
        <f t="shared" ref="K6" si="5">ROUNDUP(J6*0.99,0)</f>
        <v>293</v>
      </c>
      <c r="L6" s="22">
        <f t="shared" ref="L6" si="6">ROUNDUP(K6*1.01,0)</f>
        <v>296</v>
      </c>
      <c r="M6" s="22">
        <f t="shared" ref="M6" si="7">ROUNDUP(L6*1.001,0)</f>
        <v>297</v>
      </c>
      <c r="N6" s="22">
        <f t="shared" ref="N6" si="8">ROUNDUP(M6*0.99,0)</f>
        <v>295</v>
      </c>
      <c r="O6" s="22">
        <f t="shared" ref="O6" si="9">ROUNDUP(N6*1.01,0)</f>
        <v>298</v>
      </c>
      <c r="P6" s="22">
        <f t="shared" ref="P6" si="10">ROUNDUP(O6*1.001,0)</f>
        <v>299</v>
      </c>
      <c r="Q6" s="22">
        <f t="shared" ref="Q6" si="11">ROUNDUP(P6*0.99,0)</f>
        <v>297</v>
      </c>
      <c r="R6" s="22">
        <f t="shared" ref="R6" si="12">ROUNDUP(Q6*1.01,0)</f>
        <v>300</v>
      </c>
      <c r="S6" s="22">
        <f t="shared" ref="S6" si="13">ROUNDUP(R6*1.001,0)</f>
        <v>301</v>
      </c>
      <c r="T6" s="22">
        <f t="shared" ref="T6" si="14">ROUNDUP(S6*0.99,0)</f>
        <v>298</v>
      </c>
      <c r="U6" s="22">
        <f t="shared" ref="U6" si="15">ROUNDUP(T6*1.01,0)</f>
        <v>301</v>
      </c>
      <c r="V6" s="22">
        <f t="shared" ref="V6" si="16">ROUNDUP(U6*1.001,0)</f>
        <v>302</v>
      </c>
      <c r="W6" s="22">
        <f t="shared" ref="W6" si="17">ROUNDUP(V6*0.99,0)</f>
        <v>299</v>
      </c>
      <c r="X6" s="22">
        <f t="shared" ref="X6" si="18">ROUNDUP(W6*1.01,0)</f>
        <v>302</v>
      </c>
      <c r="Y6" s="22">
        <f t="shared" ref="Y6" si="19">ROUNDUP(X6*1.001,0)</f>
        <v>303</v>
      </c>
      <c r="Z6" s="22">
        <f t="shared" ref="Z6" si="20">ROUNDUP(Y6*0.99,0)</f>
        <v>300</v>
      </c>
      <c r="AA6" s="22">
        <f t="shared" ref="AA6" si="21">ROUNDUP(Z6*1.01,0)</f>
        <v>303</v>
      </c>
      <c r="AB6" s="22">
        <f t="shared" ref="AB6" si="22">ROUNDUP(AA6*1.001,0)</f>
        <v>304</v>
      </c>
      <c r="AC6" s="22">
        <f t="shared" ref="AC6" si="23">ROUNDUP(AB6*0.99,0)</f>
        <v>301</v>
      </c>
      <c r="AD6" s="22">
        <f t="shared" ref="AD6" si="24">ROUNDUP(AC6*1.01,0)</f>
        <v>305</v>
      </c>
      <c r="AE6" s="22">
        <f t="shared" ref="AE6" si="25">ROUNDUP(AD6*1.001,0)</f>
        <v>306</v>
      </c>
      <c r="AF6" s="22">
        <f t="shared" ref="AF6" si="26">ROUNDUP(AE6*0.99,0)</f>
        <v>303</v>
      </c>
      <c r="AG6" s="22">
        <f t="shared" ref="AG6" si="27">ROUNDUP(AF6*1.01,0)</f>
        <v>307</v>
      </c>
      <c r="AH6" s="22">
        <f t="shared" ref="AH6" si="28">ROUNDUP(AG6*1.001,0)</f>
        <v>308</v>
      </c>
      <c r="AI6" s="22">
        <f t="shared" ref="AI6" si="29">ROUNDUP(AH6*0.99,0)</f>
        <v>305</v>
      </c>
      <c r="AJ6" s="22">
        <f t="shared" ref="AJ6" si="30">ROUNDUP(AI6*1.01,0)</f>
        <v>309</v>
      </c>
      <c r="AK6" s="22">
        <f t="shared" ref="AK6" si="31">ROUNDUP(AJ6*1.001,0)</f>
        <v>310</v>
      </c>
      <c r="AL6" s="22">
        <f t="shared" ref="AL6" si="32">ROUNDUP(AK6*0.99,0)</f>
        <v>307</v>
      </c>
    </row>
    <row r="7" spans="1:38" x14ac:dyDescent="0.25">
      <c r="A7" s="21" t="s">
        <v>29</v>
      </c>
      <c r="B7" s="23">
        <f>'Información '!$B$5</f>
        <v>30000</v>
      </c>
      <c r="C7" s="23">
        <f>'Información '!$B$5</f>
        <v>30000</v>
      </c>
      <c r="D7" s="23">
        <f>'Información '!$B$5</f>
        <v>30000</v>
      </c>
      <c r="E7" s="23">
        <f>'Información '!$B$6</f>
        <v>31140</v>
      </c>
      <c r="F7" s="23">
        <f>'Información '!$B$6</f>
        <v>31140</v>
      </c>
      <c r="G7" s="23">
        <f>'Información '!$B$6</f>
        <v>31140</v>
      </c>
      <c r="H7" s="23">
        <f>'Información '!$B$6</f>
        <v>31140</v>
      </c>
      <c r="I7" s="23">
        <f>'Información '!$B$6</f>
        <v>31140</v>
      </c>
      <c r="J7" s="23">
        <f>'Información '!$B$6</f>
        <v>31140</v>
      </c>
      <c r="K7" s="23">
        <f>'Información '!$B$7</f>
        <v>32280</v>
      </c>
      <c r="L7" s="23">
        <f>'Información '!$B$7</f>
        <v>32280</v>
      </c>
      <c r="M7" s="23">
        <f>'Información '!$B$7</f>
        <v>32280</v>
      </c>
      <c r="N7" s="23">
        <f>'Información '!$E$5</f>
        <v>32280</v>
      </c>
      <c r="O7" s="23">
        <f>'Información '!$E$5</f>
        <v>32280</v>
      </c>
      <c r="P7" s="23">
        <f>'Información '!$E$5</f>
        <v>32280</v>
      </c>
      <c r="Q7" s="23">
        <f>'Información '!$E$6</f>
        <v>33571.199999999997</v>
      </c>
      <c r="R7" s="23">
        <f>'Información '!$E$6</f>
        <v>33571.199999999997</v>
      </c>
      <c r="S7" s="23">
        <f>'Información '!$E$6</f>
        <v>33571.199999999997</v>
      </c>
      <c r="T7" s="23">
        <f>'Información '!$E$6</f>
        <v>33571.199999999997</v>
      </c>
      <c r="U7" s="23">
        <f>'Información '!$E$6</f>
        <v>33571.199999999997</v>
      </c>
      <c r="V7" s="23">
        <f>'Información '!$E$6</f>
        <v>33571.199999999997</v>
      </c>
      <c r="W7" s="23">
        <f>'Información '!$E$7</f>
        <v>34862.400000000001</v>
      </c>
      <c r="X7" s="23">
        <f>'Información '!$E$7</f>
        <v>34862.400000000001</v>
      </c>
      <c r="Y7" s="23">
        <f>'Información '!$E$7</f>
        <v>34862.400000000001</v>
      </c>
      <c r="Z7" s="23">
        <f>'Información '!$H$5</f>
        <v>34862.400000000001</v>
      </c>
      <c r="AA7" s="23">
        <f>'Información '!$H$5</f>
        <v>34862.400000000001</v>
      </c>
      <c r="AB7" s="23">
        <f>'Información '!$H$5</f>
        <v>34862.400000000001</v>
      </c>
      <c r="AC7" s="23">
        <f>'Información '!$H$6</f>
        <v>36082.584000000003</v>
      </c>
      <c r="AD7" s="23">
        <f>'Información '!$H$6</f>
        <v>36082.584000000003</v>
      </c>
      <c r="AE7" s="23">
        <f>'Información '!$H$6</f>
        <v>36082.584000000003</v>
      </c>
      <c r="AF7" s="23">
        <f>'Información '!$H$6</f>
        <v>36082.584000000003</v>
      </c>
      <c r="AG7" s="23">
        <f>'Información '!$H$6</f>
        <v>36082.584000000003</v>
      </c>
      <c r="AH7" s="23">
        <f>'Información '!$H$6</f>
        <v>36082.584000000003</v>
      </c>
      <c r="AI7" s="23">
        <f>'Información '!$H$7</f>
        <v>37302.768000000004</v>
      </c>
      <c r="AJ7" s="23">
        <f>'Información '!$H$7</f>
        <v>37302.768000000004</v>
      </c>
      <c r="AK7" s="23">
        <f>'Información '!$H$7</f>
        <v>37302.768000000004</v>
      </c>
      <c r="AL7" s="23"/>
    </row>
    <row r="8" spans="1:38" x14ac:dyDescent="0.25">
      <c r="A8" s="21" t="s">
        <v>30</v>
      </c>
      <c r="B8" s="23">
        <f>+B7*B6</f>
        <v>8700000</v>
      </c>
      <c r="C8" s="23">
        <f>+C7*C6</f>
        <v>8790000</v>
      </c>
      <c r="D8" s="23">
        <f>D7*D6</f>
        <v>8820000</v>
      </c>
      <c r="E8" s="23">
        <f>E7*E6</f>
        <v>8999460</v>
      </c>
      <c r="F8" s="23">
        <f t="shared" ref="F8:AL8" si="33">F7*F6</f>
        <v>9092880</v>
      </c>
      <c r="G8" s="23">
        <f t="shared" si="33"/>
        <v>9124020</v>
      </c>
      <c r="H8" s="23">
        <f t="shared" si="33"/>
        <v>9061740</v>
      </c>
      <c r="I8" s="23">
        <f t="shared" si="33"/>
        <v>9155160</v>
      </c>
      <c r="J8" s="23">
        <f t="shared" si="33"/>
        <v>9186300</v>
      </c>
      <c r="K8" s="23">
        <f t="shared" si="33"/>
        <v>9458040</v>
      </c>
      <c r="L8" s="23">
        <f t="shared" si="33"/>
        <v>9554880</v>
      </c>
      <c r="M8" s="23">
        <f t="shared" si="33"/>
        <v>9587160</v>
      </c>
      <c r="N8" s="23">
        <f t="shared" si="33"/>
        <v>9522600</v>
      </c>
      <c r="O8" s="23">
        <f t="shared" si="33"/>
        <v>9619440</v>
      </c>
      <c r="P8" s="23">
        <f t="shared" si="33"/>
        <v>9651720</v>
      </c>
      <c r="Q8" s="23">
        <f t="shared" si="33"/>
        <v>9970646.3999999985</v>
      </c>
      <c r="R8" s="23">
        <f t="shared" si="33"/>
        <v>10071360</v>
      </c>
      <c r="S8" s="23">
        <f t="shared" si="33"/>
        <v>10104931.199999999</v>
      </c>
      <c r="T8" s="23">
        <f t="shared" si="33"/>
        <v>10004217.6</v>
      </c>
      <c r="U8" s="23">
        <f t="shared" si="33"/>
        <v>10104931.199999999</v>
      </c>
      <c r="V8" s="23">
        <f t="shared" si="33"/>
        <v>10138502.399999999</v>
      </c>
      <c r="W8" s="23">
        <f t="shared" si="33"/>
        <v>10423857.6</v>
      </c>
      <c r="X8" s="23">
        <f t="shared" si="33"/>
        <v>10528444.800000001</v>
      </c>
      <c r="Y8" s="23">
        <f t="shared" si="33"/>
        <v>10563307.200000001</v>
      </c>
      <c r="Z8" s="23">
        <f t="shared" si="33"/>
        <v>10458720</v>
      </c>
      <c r="AA8" s="23">
        <f t="shared" si="33"/>
        <v>10563307.200000001</v>
      </c>
      <c r="AB8" s="23">
        <f t="shared" si="33"/>
        <v>10598169.6</v>
      </c>
      <c r="AC8" s="23">
        <f t="shared" si="33"/>
        <v>10860857.784</v>
      </c>
      <c r="AD8" s="23">
        <f t="shared" si="33"/>
        <v>11005188.120000001</v>
      </c>
      <c r="AE8" s="23">
        <f t="shared" si="33"/>
        <v>11041270.704</v>
      </c>
      <c r="AF8" s="23">
        <f t="shared" si="33"/>
        <v>10933022.952000001</v>
      </c>
      <c r="AG8" s="23">
        <f t="shared" si="33"/>
        <v>11077353.288000001</v>
      </c>
      <c r="AH8" s="23">
        <f t="shared" si="33"/>
        <v>11113435.872000001</v>
      </c>
      <c r="AI8" s="23">
        <f t="shared" si="33"/>
        <v>11377344.24</v>
      </c>
      <c r="AJ8" s="23">
        <f t="shared" si="33"/>
        <v>11526555.312000001</v>
      </c>
      <c r="AK8" s="23">
        <f t="shared" si="33"/>
        <v>11563858.080000002</v>
      </c>
      <c r="AL8" s="23">
        <f t="shared" si="33"/>
        <v>0</v>
      </c>
    </row>
    <row r="9" spans="1:38" x14ac:dyDescent="0.25">
      <c r="A9" s="29" t="s">
        <v>49</v>
      </c>
      <c r="M9" s="58">
        <f>SUM(B8:M8)</f>
        <v>109529640</v>
      </c>
      <c r="Y9" s="58">
        <f>SUM(N8:Y8)</f>
        <v>120703958.39999998</v>
      </c>
      <c r="AK9" s="58">
        <f>SUM(Z8:AK8)</f>
        <v>132119083.15200001</v>
      </c>
    </row>
    <row r="11" spans="1:38" x14ac:dyDescent="0.25">
      <c r="A11" s="99"/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  <c r="AI11" s="100"/>
      <c r="AJ11" s="100"/>
      <c r="AK11" s="100"/>
      <c r="AL11" s="100"/>
    </row>
    <row r="12" spans="1:38" x14ac:dyDescent="0.25">
      <c r="A12" s="100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  <c r="AI12" s="100"/>
      <c r="AJ12" s="100"/>
      <c r="AK12" s="100"/>
      <c r="AL12" s="100"/>
    </row>
    <row r="13" spans="1:38" x14ac:dyDescent="0.25">
      <c r="A13" s="100"/>
      <c r="B13" s="101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1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1"/>
      <c r="AA13" s="100"/>
      <c r="AB13" s="100"/>
      <c r="AC13" s="100"/>
      <c r="AD13" s="100"/>
      <c r="AE13" s="100"/>
      <c r="AF13" s="100"/>
      <c r="AG13" s="100"/>
      <c r="AH13" s="100"/>
      <c r="AI13" s="100"/>
      <c r="AJ13" s="100"/>
      <c r="AK13" s="100"/>
      <c r="AL13" s="100"/>
    </row>
    <row r="14" spans="1:38" x14ac:dyDescent="0.25">
      <c r="A14" s="102"/>
      <c r="B14" s="102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02"/>
      <c r="N14" s="103"/>
      <c r="O14" s="102"/>
      <c r="P14" s="102"/>
      <c r="Q14" s="103"/>
      <c r="R14" s="102"/>
      <c r="S14" s="102"/>
      <c r="T14" s="103"/>
      <c r="U14" s="102"/>
      <c r="V14" s="102"/>
      <c r="W14" s="103"/>
      <c r="X14" s="102"/>
      <c r="Y14" s="102"/>
      <c r="Z14" s="103"/>
      <c r="AA14" s="102"/>
      <c r="AB14" s="102"/>
      <c r="AC14" s="103"/>
      <c r="AD14" s="102"/>
      <c r="AE14" s="102"/>
      <c r="AF14" s="103"/>
      <c r="AG14" s="102"/>
      <c r="AH14" s="102"/>
      <c r="AI14" s="103"/>
      <c r="AJ14" s="102"/>
      <c r="AK14" s="102"/>
      <c r="AL14" s="103"/>
    </row>
    <row r="15" spans="1:38" x14ac:dyDescent="0.25">
      <c r="A15" s="104"/>
      <c r="B15" s="105"/>
      <c r="C15" s="105"/>
      <c r="D15" s="105"/>
      <c r="E15" s="105"/>
      <c r="F15" s="105"/>
      <c r="G15" s="105"/>
      <c r="H15" s="105"/>
      <c r="I15" s="105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  <c r="Z15" s="105"/>
      <c r="AA15" s="105"/>
      <c r="AB15" s="105"/>
      <c r="AC15" s="105"/>
      <c r="AD15" s="105"/>
      <c r="AE15" s="105"/>
      <c r="AF15" s="105"/>
      <c r="AG15" s="105"/>
      <c r="AH15" s="105"/>
      <c r="AI15" s="105"/>
      <c r="AJ15" s="105"/>
      <c r="AK15" s="105"/>
      <c r="AL15" s="105"/>
    </row>
    <row r="16" spans="1:38" x14ac:dyDescent="0.25">
      <c r="A16" s="104"/>
      <c r="B16" s="106"/>
      <c r="C16" s="106"/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</row>
    <row r="17" spans="1:38" x14ac:dyDescent="0.25">
      <c r="A17" s="104"/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2"/>
    </row>
    <row r="18" spans="1:38" x14ac:dyDescent="0.25">
      <c r="A18" s="107"/>
      <c r="B18" s="100"/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08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8"/>
      <c r="Z18" s="100"/>
      <c r="AA18" s="100"/>
      <c r="AB18" s="100"/>
      <c r="AC18" s="100"/>
      <c r="AD18" s="100"/>
      <c r="AE18" s="100"/>
      <c r="AF18" s="100"/>
      <c r="AG18" s="100"/>
      <c r="AH18" s="100"/>
      <c r="AI18" s="100"/>
      <c r="AJ18" s="100"/>
      <c r="AK18" s="108"/>
      <c r="AL18" s="100"/>
    </row>
    <row r="19" spans="1:38" x14ac:dyDescent="0.25">
      <c r="A19" s="100"/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0"/>
      <c r="AJ19" s="100"/>
      <c r="AK19" s="100"/>
      <c r="AL19" s="100"/>
    </row>
    <row r="20" spans="1:38" x14ac:dyDescent="0.25">
      <c r="A20" s="99"/>
      <c r="B20" s="100"/>
      <c r="C20" s="100"/>
      <c r="D20" s="100"/>
      <c r="E20" s="100"/>
      <c r="F20" s="100"/>
      <c r="G20" s="100"/>
      <c r="H20" s="100"/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0"/>
      <c r="AJ20" s="100"/>
      <c r="AK20" s="100"/>
      <c r="AL20" s="100"/>
    </row>
    <row r="21" spans="1:38" x14ac:dyDescent="0.25">
      <c r="A21" s="100"/>
      <c r="B21" s="100"/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  <c r="AI21" s="100"/>
      <c r="AJ21" s="100"/>
      <c r="AK21" s="100"/>
      <c r="AL21" s="100"/>
    </row>
    <row r="22" spans="1:38" x14ac:dyDescent="0.25">
      <c r="A22" s="100"/>
      <c r="B22" s="101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1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1"/>
      <c r="AA22" s="100"/>
      <c r="AB22" s="100"/>
      <c r="AC22" s="100"/>
      <c r="AD22" s="100"/>
      <c r="AE22" s="100"/>
      <c r="AF22" s="100"/>
      <c r="AG22" s="100"/>
      <c r="AH22" s="100"/>
      <c r="AI22" s="100"/>
      <c r="AJ22" s="100"/>
      <c r="AK22" s="100"/>
      <c r="AL22" s="100"/>
    </row>
    <row r="23" spans="1:38" x14ac:dyDescent="0.25">
      <c r="A23" s="102"/>
      <c r="B23" s="102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3"/>
      <c r="O23" s="102"/>
      <c r="P23" s="102"/>
      <c r="Q23" s="103"/>
      <c r="R23" s="102"/>
      <c r="S23" s="102"/>
      <c r="T23" s="103"/>
      <c r="U23" s="102"/>
      <c r="V23" s="102"/>
      <c r="W23" s="103"/>
      <c r="X23" s="102"/>
      <c r="Y23" s="102"/>
      <c r="Z23" s="103"/>
      <c r="AA23" s="102"/>
      <c r="AB23" s="102"/>
      <c r="AC23" s="103"/>
      <c r="AD23" s="102"/>
      <c r="AE23" s="102"/>
      <c r="AF23" s="103"/>
      <c r="AG23" s="102"/>
      <c r="AH23" s="102"/>
      <c r="AI23" s="103"/>
      <c r="AJ23" s="102"/>
      <c r="AK23" s="102"/>
      <c r="AL23" s="103"/>
    </row>
    <row r="24" spans="1:38" x14ac:dyDescent="0.25">
      <c r="A24" s="104"/>
      <c r="B24" s="109"/>
      <c r="C24" s="109"/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  <c r="O24" s="109"/>
      <c r="P24" s="109"/>
      <c r="Q24" s="109"/>
      <c r="R24" s="109"/>
      <c r="S24" s="109"/>
      <c r="T24" s="109"/>
      <c r="U24" s="109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</row>
    <row r="25" spans="1:38" x14ac:dyDescent="0.25">
      <c r="A25" s="104"/>
      <c r="B25" s="106"/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</row>
    <row r="26" spans="1:38" x14ac:dyDescent="0.25">
      <c r="A26" s="104"/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2"/>
    </row>
    <row r="27" spans="1:38" x14ac:dyDescent="0.25">
      <c r="A27" s="107"/>
      <c r="B27" s="100"/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8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8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8"/>
      <c r="AL27" s="100"/>
    </row>
    <row r="28" spans="1:38" x14ac:dyDescent="0.25">
      <c r="A28" s="100"/>
      <c r="B28" s="100"/>
      <c r="C28" s="100"/>
      <c r="D28" s="100"/>
      <c r="E28" s="100"/>
      <c r="F28" s="100"/>
      <c r="G28" s="100"/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L35"/>
  <sheetViews>
    <sheetView workbookViewId="0">
      <selection activeCell="F17" sqref="F17"/>
    </sheetView>
  </sheetViews>
  <sheetFormatPr baseColWidth="10" defaultRowHeight="15" x14ac:dyDescent="0.25"/>
  <cols>
    <col min="2" max="2" width="28" customWidth="1"/>
    <col min="3" max="3" width="15" customWidth="1"/>
    <col min="4" max="4" width="11.5703125" bestFit="1" customWidth="1"/>
    <col min="5" max="6" width="14.5703125" bestFit="1" customWidth="1"/>
    <col min="7" max="7" width="13.140625" customWidth="1"/>
    <col min="8" max="8" width="13.28515625" bestFit="1" customWidth="1"/>
    <col min="14" max="14" width="12.5703125" bestFit="1" customWidth="1"/>
    <col min="26" max="26" width="12.5703125" bestFit="1" customWidth="1"/>
    <col min="38" max="38" width="12.5703125" bestFit="1" customWidth="1"/>
  </cols>
  <sheetData>
    <row r="2" spans="1:38" x14ac:dyDescent="0.25">
      <c r="B2" s="28" t="s">
        <v>107</v>
      </c>
    </row>
    <row r="3" spans="1:38" x14ac:dyDescent="0.25">
      <c r="C3" s="18">
        <v>2016</v>
      </c>
      <c r="O3" s="27">
        <v>2017</v>
      </c>
      <c r="AA3" s="27">
        <v>2018</v>
      </c>
    </row>
    <row r="4" spans="1:38" x14ac:dyDescent="0.25">
      <c r="B4" s="55"/>
      <c r="C4" s="56" t="s">
        <v>27</v>
      </c>
      <c r="D4" s="56" t="s">
        <v>40</v>
      </c>
      <c r="E4" s="56" t="s">
        <v>41</v>
      </c>
      <c r="F4" s="56" t="s">
        <v>18</v>
      </c>
      <c r="G4" s="56" t="s">
        <v>42</v>
      </c>
      <c r="H4" s="56" t="s">
        <v>20</v>
      </c>
      <c r="I4" s="56" t="s">
        <v>21</v>
      </c>
      <c r="J4" s="56" t="s">
        <v>22</v>
      </c>
      <c r="K4" s="56" t="s">
        <v>43</v>
      </c>
      <c r="L4" s="56" t="s">
        <v>24</v>
      </c>
      <c r="M4" s="56" t="s">
        <v>25</v>
      </c>
      <c r="N4" s="56" t="s">
        <v>44</v>
      </c>
      <c r="O4" s="56" t="s">
        <v>27</v>
      </c>
      <c r="P4" s="56" t="s">
        <v>40</v>
      </c>
      <c r="Q4" s="56" t="s">
        <v>41</v>
      </c>
      <c r="R4" s="56" t="s">
        <v>18</v>
      </c>
      <c r="S4" s="56" t="s">
        <v>42</v>
      </c>
      <c r="T4" s="56" t="s">
        <v>20</v>
      </c>
      <c r="U4" s="56" t="s">
        <v>21</v>
      </c>
      <c r="V4" s="56" t="s">
        <v>22</v>
      </c>
      <c r="W4" s="56" t="s">
        <v>43</v>
      </c>
      <c r="X4" s="56" t="s">
        <v>24</v>
      </c>
      <c r="Y4" s="56" t="s">
        <v>25</v>
      </c>
      <c r="Z4" s="56" t="s">
        <v>44</v>
      </c>
      <c r="AA4" s="56" t="s">
        <v>27</v>
      </c>
      <c r="AB4" s="56" t="s">
        <v>40</v>
      </c>
      <c r="AC4" s="56" t="s">
        <v>41</v>
      </c>
      <c r="AD4" s="56" t="s">
        <v>18</v>
      </c>
      <c r="AE4" s="56" t="s">
        <v>42</v>
      </c>
      <c r="AF4" s="56" t="s">
        <v>20</v>
      </c>
      <c r="AG4" s="56" t="s">
        <v>21</v>
      </c>
      <c r="AH4" s="56" t="s">
        <v>22</v>
      </c>
      <c r="AI4" s="56" t="s">
        <v>43</v>
      </c>
      <c r="AJ4" s="56" t="s">
        <v>24</v>
      </c>
      <c r="AK4" s="56" t="s">
        <v>25</v>
      </c>
      <c r="AL4" s="56" t="s">
        <v>44</v>
      </c>
    </row>
    <row r="5" spans="1:38" x14ac:dyDescent="0.25">
      <c r="B5" s="57" t="s">
        <v>108</v>
      </c>
      <c r="C5" s="55">
        <f>'Presupuesto de Ventas'!B6</f>
        <v>290</v>
      </c>
      <c r="D5" s="55">
        <f>'Presupuesto de Ventas'!C6</f>
        <v>293</v>
      </c>
      <c r="E5" s="55">
        <f>'Presupuesto de Ventas'!D6</f>
        <v>294</v>
      </c>
      <c r="F5" s="55">
        <f>'Presupuesto de Ventas'!E6</f>
        <v>289</v>
      </c>
      <c r="G5" s="55">
        <f>'Presupuesto de Ventas'!F6</f>
        <v>292</v>
      </c>
      <c r="H5" s="55">
        <f>'Presupuesto de Ventas'!G6</f>
        <v>293</v>
      </c>
      <c r="I5" s="55">
        <f>'Presupuesto de Ventas'!H6</f>
        <v>291</v>
      </c>
      <c r="J5" s="55">
        <f>'Presupuesto de Ventas'!I6</f>
        <v>294</v>
      </c>
      <c r="K5" s="55">
        <f>'Presupuesto de Ventas'!J6</f>
        <v>295</v>
      </c>
      <c r="L5" s="55">
        <f>'Presupuesto de Ventas'!K6</f>
        <v>293</v>
      </c>
      <c r="M5" s="55">
        <f>'Presupuesto de Ventas'!L6</f>
        <v>296</v>
      </c>
      <c r="N5" s="55">
        <f>'Presupuesto de Ventas'!M6</f>
        <v>297</v>
      </c>
      <c r="O5" s="55">
        <f>'Presupuesto de Ventas'!N6</f>
        <v>295</v>
      </c>
      <c r="P5" s="55">
        <f>'Presupuesto de Ventas'!O6</f>
        <v>298</v>
      </c>
      <c r="Q5" s="55">
        <f>'Presupuesto de Ventas'!P6</f>
        <v>299</v>
      </c>
      <c r="R5" s="55">
        <f>'Presupuesto de Ventas'!Q6</f>
        <v>297</v>
      </c>
      <c r="S5" s="55">
        <f>'Presupuesto de Ventas'!R6</f>
        <v>300</v>
      </c>
      <c r="T5" s="55">
        <f>'Presupuesto de Ventas'!S6</f>
        <v>301</v>
      </c>
      <c r="U5" s="55">
        <f>'Presupuesto de Ventas'!T6</f>
        <v>298</v>
      </c>
      <c r="V5" s="55">
        <f>'Presupuesto de Ventas'!U6</f>
        <v>301</v>
      </c>
      <c r="W5" s="55">
        <f>'Presupuesto de Ventas'!V6</f>
        <v>302</v>
      </c>
      <c r="X5" s="55">
        <f>'Presupuesto de Ventas'!W6</f>
        <v>299</v>
      </c>
      <c r="Y5" s="55">
        <f>'Presupuesto de Ventas'!X6</f>
        <v>302</v>
      </c>
      <c r="Z5" s="55">
        <f>'Presupuesto de Ventas'!Y6</f>
        <v>303</v>
      </c>
      <c r="AA5" s="55">
        <f>'Presupuesto de Ventas'!Z6</f>
        <v>300</v>
      </c>
      <c r="AB5" s="55">
        <f>'Presupuesto de Ventas'!AA6</f>
        <v>303</v>
      </c>
      <c r="AC5" s="55">
        <f>'Presupuesto de Ventas'!AB6</f>
        <v>304</v>
      </c>
      <c r="AD5" s="55">
        <f>'Presupuesto de Ventas'!AC6</f>
        <v>301</v>
      </c>
      <c r="AE5" s="55">
        <f>'Presupuesto de Ventas'!AD6</f>
        <v>305</v>
      </c>
      <c r="AF5" s="55">
        <f>'Presupuesto de Ventas'!AE6</f>
        <v>306</v>
      </c>
      <c r="AG5" s="55">
        <f>'Presupuesto de Ventas'!AF6</f>
        <v>303</v>
      </c>
      <c r="AH5" s="55">
        <f>'Presupuesto de Ventas'!AG6</f>
        <v>307</v>
      </c>
      <c r="AI5" s="55">
        <f>'Presupuesto de Ventas'!AH6</f>
        <v>308</v>
      </c>
      <c r="AJ5" s="55">
        <f>'Presupuesto de Ventas'!AI6</f>
        <v>305</v>
      </c>
      <c r="AK5" s="55">
        <f>'Presupuesto de Ventas'!AJ6</f>
        <v>309</v>
      </c>
      <c r="AL5" s="55">
        <f>'Presupuesto de Ventas'!AK6</f>
        <v>310</v>
      </c>
    </row>
    <row r="6" spans="1:38" x14ac:dyDescent="0.25">
      <c r="A6" s="27"/>
      <c r="B6" s="57" t="s">
        <v>109</v>
      </c>
      <c r="C6" s="76">
        <f>'Información '!$B$23</f>
        <v>11876.436771456896</v>
      </c>
      <c r="D6" s="76">
        <f>'Información '!$B$23</f>
        <v>11876.436771456896</v>
      </c>
      <c r="E6" s="76">
        <f>'Información '!$B$23</f>
        <v>11876.436771456896</v>
      </c>
      <c r="F6" s="76">
        <f>'Información '!$B$24</f>
        <v>12327.741368772258</v>
      </c>
      <c r="G6" s="76">
        <f>'Información '!$B$24</f>
        <v>12327.741368772258</v>
      </c>
      <c r="H6" s="76">
        <f>'Información '!$B$24</f>
        <v>12327.741368772258</v>
      </c>
      <c r="I6" s="76">
        <f>'Información '!$B$24</f>
        <v>12327.741368772258</v>
      </c>
      <c r="J6" s="76">
        <f>'Información '!$B$24</f>
        <v>12327.741368772258</v>
      </c>
      <c r="K6" s="76">
        <f>'Información '!$B$24</f>
        <v>12327.741368772258</v>
      </c>
      <c r="L6" s="76">
        <f>'Información '!$B$25</f>
        <v>12779.04596608762</v>
      </c>
      <c r="M6" s="76">
        <f>'Información '!$B$25</f>
        <v>12779.04596608762</v>
      </c>
      <c r="N6" s="76">
        <f>'Información '!$B$25</f>
        <v>12779.04596608762</v>
      </c>
      <c r="O6" s="76">
        <f>'Información '!$E$23</f>
        <v>12779.04596608762</v>
      </c>
      <c r="P6" s="76">
        <f>'Información '!$E$23</f>
        <v>12779.04596608762</v>
      </c>
      <c r="Q6" s="76">
        <f>'Información '!$E$23</f>
        <v>12779.04596608762</v>
      </c>
      <c r="R6" s="76">
        <f>'Información '!$E$24</f>
        <v>13290.207804731126</v>
      </c>
      <c r="S6" s="76">
        <f>'Información '!$E$24</f>
        <v>13290.207804731126</v>
      </c>
      <c r="T6" s="76">
        <f>'Información '!$E$24</f>
        <v>13290.207804731126</v>
      </c>
      <c r="U6" s="76">
        <f>'Información '!$E$24</f>
        <v>13290.207804731126</v>
      </c>
      <c r="V6" s="76">
        <f>'Información '!$E$24</f>
        <v>13290.207804731126</v>
      </c>
      <c r="W6" s="76">
        <f>'Información '!$E$24</f>
        <v>13290.207804731126</v>
      </c>
      <c r="X6" s="76">
        <f>'Información '!$E$25</f>
        <v>13801.36964337463</v>
      </c>
      <c r="Y6" s="76">
        <f>'Información '!$E$25</f>
        <v>13801.36964337463</v>
      </c>
      <c r="Z6" s="76">
        <f>'Información '!$E$25</f>
        <v>13801.36964337463</v>
      </c>
      <c r="AA6" s="76">
        <f>'Información '!$H$23</f>
        <v>13801.36964337463</v>
      </c>
      <c r="AB6" s="76">
        <f>'Información '!$H$23</f>
        <v>13801.36964337463</v>
      </c>
      <c r="AC6" s="76">
        <f>'Información '!$H$23</f>
        <v>13801.36964337463</v>
      </c>
      <c r="AD6" s="76">
        <f>'Información '!$H$24</f>
        <v>14284.417580892743</v>
      </c>
      <c r="AE6" s="76">
        <f>'Información '!$H$24</f>
        <v>14284.417580892743</v>
      </c>
      <c r="AF6" s="76">
        <f>'Información '!$H$24</f>
        <v>14284.417580892743</v>
      </c>
      <c r="AG6" s="76">
        <f>'Información '!$H$24</f>
        <v>14284.417580892743</v>
      </c>
      <c r="AH6" s="76">
        <f>'Información '!$H$24</f>
        <v>14284.417580892743</v>
      </c>
      <c r="AI6" s="76">
        <f>'Información '!$H$24</f>
        <v>14284.417580892743</v>
      </c>
      <c r="AJ6" s="76">
        <f>'Información '!$H$25</f>
        <v>14767.465518410854</v>
      </c>
      <c r="AK6" s="76">
        <f>'Información '!$H$25</f>
        <v>14767.465518410854</v>
      </c>
      <c r="AL6" s="76">
        <f>'Información '!$H$25</f>
        <v>14767.465518410854</v>
      </c>
    </row>
    <row r="7" spans="1:38" x14ac:dyDescent="0.25">
      <c r="A7" s="27"/>
      <c r="B7" s="57" t="s">
        <v>110</v>
      </c>
      <c r="C7" s="76">
        <f>C5*C6</f>
        <v>3444166.6637224997</v>
      </c>
      <c r="D7" s="76">
        <f t="shared" ref="D7:N7" si="0">D5*D6</f>
        <v>3479795.9740368705</v>
      </c>
      <c r="E7" s="76">
        <f t="shared" si="0"/>
        <v>3491672.4108083276</v>
      </c>
      <c r="F7" s="76">
        <f t="shared" si="0"/>
        <v>3562717.2555751828</v>
      </c>
      <c r="G7" s="76">
        <f t="shared" si="0"/>
        <v>3599700.4796814993</v>
      </c>
      <c r="H7" s="76">
        <f t="shared" si="0"/>
        <v>3612028.2210502718</v>
      </c>
      <c r="I7" s="76">
        <f t="shared" si="0"/>
        <v>3587372.7383127273</v>
      </c>
      <c r="J7" s="76">
        <f t="shared" si="0"/>
        <v>3624355.9624190438</v>
      </c>
      <c r="K7" s="76">
        <f t="shared" si="0"/>
        <v>3636683.7037878162</v>
      </c>
      <c r="L7" s="76">
        <f t="shared" si="0"/>
        <v>3744260.468063673</v>
      </c>
      <c r="M7" s="76">
        <f t="shared" si="0"/>
        <v>3782597.6059619356</v>
      </c>
      <c r="N7" s="76">
        <f t="shared" si="0"/>
        <v>3795376.6519280234</v>
      </c>
      <c r="O7" s="76">
        <f t="shared" ref="O7:AK7" si="1">O5*O6</f>
        <v>3769818.5599958482</v>
      </c>
      <c r="P7" s="76">
        <f t="shared" si="1"/>
        <v>3808155.6978941108</v>
      </c>
      <c r="Q7" s="76">
        <f t="shared" si="1"/>
        <v>3820934.7438601987</v>
      </c>
      <c r="R7" s="76">
        <f t="shared" si="1"/>
        <v>3947191.7180051445</v>
      </c>
      <c r="S7" s="76">
        <f t="shared" si="1"/>
        <v>3987062.3414193378</v>
      </c>
      <c r="T7" s="76">
        <f t="shared" si="1"/>
        <v>4000352.5492240689</v>
      </c>
      <c r="U7" s="76">
        <f t="shared" si="1"/>
        <v>3960481.9258098756</v>
      </c>
      <c r="V7" s="76">
        <f t="shared" si="1"/>
        <v>4000352.5492240689</v>
      </c>
      <c r="W7" s="76">
        <f t="shared" si="1"/>
        <v>4013642.7570288</v>
      </c>
      <c r="X7" s="76">
        <f t="shared" si="1"/>
        <v>4126609.5233690143</v>
      </c>
      <c r="Y7" s="76">
        <f t="shared" si="1"/>
        <v>4168013.6322991382</v>
      </c>
      <c r="Z7" s="76">
        <f t="shared" si="1"/>
        <v>4181815.001942513</v>
      </c>
      <c r="AA7" s="76">
        <f t="shared" si="1"/>
        <v>4140410.8930123891</v>
      </c>
      <c r="AB7" s="76">
        <f t="shared" si="1"/>
        <v>4181815.001942513</v>
      </c>
      <c r="AC7" s="76">
        <f t="shared" si="1"/>
        <v>4195616.3715858879</v>
      </c>
      <c r="AD7" s="76">
        <f t="shared" si="1"/>
        <v>4299609.6918487158</v>
      </c>
      <c r="AE7" s="76">
        <f t="shared" si="1"/>
        <v>4356747.362172287</v>
      </c>
      <c r="AF7" s="76">
        <f t="shared" si="1"/>
        <v>4371031.7797531793</v>
      </c>
      <c r="AG7" s="76">
        <f t="shared" si="1"/>
        <v>4328178.5270105014</v>
      </c>
      <c r="AH7" s="76">
        <f t="shared" si="1"/>
        <v>4385316.1973340726</v>
      </c>
      <c r="AI7" s="76">
        <f t="shared" si="1"/>
        <v>4399600.6149149649</v>
      </c>
      <c r="AJ7" s="76">
        <f t="shared" si="1"/>
        <v>4504076.9831153108</v>
      </c>
      <c r="AK7" s="76">
        <f t="shared" si="1"/>
        <v>4563146.8451889539</v>
      </c>
      <c r="AL7" s="76">
        <f>AL5*AL6</f>
        <v>4577914.3107073652</v>
      </c>
    </row>
    <row r="8" spans="1:38" x14ac:dyDescent="0.25">
      <c r="N8" s="26">
        <f>SUM(C7:N7)</f>
        <v>43360728.135347873</v>
      </c>
      <c r="Z8" s="26">
        <f>SUM(O7:Z7)</f>
        <v>47784431.000072122</v>
      </c>
      <c r="AL8" s="26">
        <f>SUM(AA7:AL7)</f>
        <v>52303464.578586139</v>
      </c>
    </row>
    <row r="10" spans="1:38" x14ac:dyDescent="0.25">
      <c r="B10" s="80"/>
      <c r="C10" s="80"/>
      <c r="D10" s="91" t="s">
        <v>119</v>
      </c>
      <c r="E10" s="91" t="s">
        <v>119</v>
      </c>
      <c r="F10" s="91" t="s">
        <v>127</v>
      </c>
      <c r="H10" s="77" t="s">
        <v>120</v>
      </c>
      <c r="I10" s="78">
        <f>C5</f>
        <v>290</v>
      </c>
    </row>
    <row r="11" spans="1:38" x14ac:dyDescent="0.25">
      <c r="B11" s="80"/>
      <c r="C11" s="80"/>
      <c r="D11" s="92" t="s">
        <v>121</v>
      </c>
      <c r="E11" s="92" t="s">
        <v>118</v>
      </c>
      <c r="F11" s="85"/>
      <c r="H11" s="77" t="s">
        <v>125</v>
      </c>
      <c r="I11" s="79">
        <v>3003.0030000000002</v>
      </c>
    </row>
    <row r="12" spans="1:38" x14ac:dyDescent="0.25">
      <c r="B12" s="80" t="s">
        <v>140</v>
      </c>
      <c r="C12" s="80"/>
      <c r="D12" s="86">
        <v>0.99</v>
      </c>
      <c r="E12" s="86">
        <f>+D12*I11</f>
        <v>2972.9729700000003</v>
      </c>
      <c r="F12" s="87">
        <f>+E12*$I$10</f>
        <v>862162.16130000004</v>
      </c>
    </row>
    <row r="13" spans="1:38" x14ac:dyDescent="0.25">
      <c r="B13" s="80" t="s">
        <v>133</v>
      </c>
      <c r="C13" s="84">
        <v>0.15</v>
      </c>
      <c r="D13" s="86">
        <f>D12*C13</f>
        <v>0.14849999999999999</v>
      </c>
      <c r="E13" s="86">
        <f>+D13*$I$11</f>
        <v>445.94594549999999</v>
      </c>
      <c r="F13" s="87">
        <f>+E13*$I$10</f>
        <v>129324.32419499999</v>
      </c>
    </row>
    <row r="14" spans="1:38" x14ac:dyDescent="0.25">
      <c r="B14" s="80" t="s">
        <v>132</v>
      </c>
      <c r="C14" s="84">
        <v>0.16</v>
      </c>
      <c r="D14" s="86">
        <f>D12*C14</f>
        <v>0.15840000000000001</v>
      </c>
      <c r="E14" s="86">
        <f t="shared" ref="E14:E18" si="2">+D14*$I$11</f>
        <v>475.67567520000006</v>
      </c>
      <c r="F14" s="87">
        <f t="shared" ref="F14:F18" si="3">+E14*$I$10</f>
        <v>137945.94580800002</v>
      </c>
    </row>
    <row r="15" spans="1:38" x14ac:dyDescent="0.25">
      <c r="B15" s="80" t="s">
        <v>130</v>
      </c>
      <c r="C15" s="80">
        <f>C31</f>
        <v>200</v>
      </c>
      <c r="D15" s="86">
        <f>C15/$I$10</f>
        <v>0.68965517241379315</v>
      </c>
      <c r="E15" s="86">
        <f>+D15*$I$11</f>
        <v>2071.036551724138</v>
      </c>
      <c r="F15" s="87">
        <f t="shared" si="3"/>
        <v>600600.6</v>
      </c>
    </row>
    <row r="16" spans="1:38" x14ac:dyDescent="0.25">
      <c r="B16" s="88" t="s">
        <v>141</v>
      </c>
      <c r="C16" s="80">
        <f t="shared" ref="C16:C18" si="4">C32</f>
        <v>300</v>
      </c>
      <c r="D16" s="86">
        <f t="shared" ref="D16:D17" si="5">C16/$I$10</f>
        <v>1.0344827586206897</v>
      </c>
      <c r="E16" s="86">
        <f t="shared" si="2"/>
        <v>3106.5548275862075</v>
      </c>
      <c r="F16" s="87">
        <f t="shared" si="3"/>
        <v>900900.90000000014</v>
      </c>
      <c r="K16">
        <v>4005</v>
      </c>
    </row>
    <row r="17" spans="2:6" x14ac:dyDescent="0.25">
      <c r="B17" s="88" t="s">
        <v>142</v>
      </c>
      <c r="C17" s="80">
        <f t="shared" si="4"/>
        <v>100</v>
      </c>
      <c r="D17" s="86">
        <f t="shared" si="5"/>
        <v>0.34482758620689657</v>
      </c>
      <c r="E17" s="86">
        <f t="shared" si="2"/>
        <v>1035.518275862069</v>
      </c>
      <c r="F17" s="87">
        <f t="shared" si="3"/>
        <v>300300.3</v>
      </c>
    </row>
    <row r="18" spans="2:6" x14ac:dyDescent="0.25">
      <c r="B18" s="88" t="s">
        <v>143</v>
      </c>
      <c r="C18" s="94">
        <f t="shared" si="4"/>
        <v>166.5000001665</v>
      </c>
      <c r="D18" s="86">
        <f>C18/$I$10</f>
        <v>0.5741379316086207</v>
      </c>
      <c r="E18" s="86">
        <f t="shared" si="2"/>
        <v>1724.1379310344828</v>
      </c>
      <c r="F18" s="87">
        <f t="shared" si="3"/>
        <v>500000</v>
      </c>
    </row>
    <row r="19" spans="2:6" x14ac:dyDescent="0.25">
      <c r="B19" s="88" t="s">
        <v>144</v>
      </c>
      <c r="C19" s="89">
        <f>C35</f>
        <v>1.4999999999999999E-2</v>
      </c>
      <c r="D19" s="86">
        <f>C19*D12</f>
        <v>1.4849999999999999E-2</v>
      </c>
      <c r="E19" s="86">
        <f>+D19*$I$11</f>
        <v>44.594594549999997</v>
      </c>
      <c r="F19" s="87">
        <f>+E19*$I$10</f>
        <v>12932.432419499999</v>
      </c>
    </row>
    <row r="20" spans="2:6" x14ac:dyDescent="0.25">
      <c r="B20" s="80" t="s">
        <v>126</v>
      </c>
      <c r="C20" s="80"/>
      <c r="D20" s="80"/>
      <c r="E20" s="90">
        <f>SUM(E12:E19)</f>
        <v>11876.436771456896</v>
      </c>
      <c r="F20" s="90">
        <f>SUM(F12:F19)</f>
        <v>3444166.6637224997</v>
      </c>
    </row>
    <row r="21" spans="2:6" x14ac:dyDescent="0.25">
      <c r="B21" s="80"/>
      <c r="C21" s="80"/>
      <c r="D21" s="80"/>
      <c r="E21" s="80"/>
    </row>
    <row r="22" spans="2:6" x14ac:dyDescent="0.25">
      <c r="B22" s="82" t="s">
        <v>129</v>
      </c>
    </row>
    <row r="23" spans="2:6" x14ac:dyDescent="0.25">
      <c r="B23" s="49" t="s">
        <v>111</v>
      </c>
      <c r="C23" s="49" t="s">
        <v>122</v>
      </c>
    </row>
    <row r="24" spans="2:6" x14ac:dyDescent="0.25">
      <c r="B24" s="49" t="s">
        <v>112</v>
      </c>
      <c r="C24" s="49" t="s">
        <v>113</v>
      </c>
    </row>
    <row r="25" spans="2:6" x14ac:dyDescent="0.25">
      <c r="B25" s="49" t="s">
        <v>114</v>
      </c>
      <c r="C25" s="49" t="s">
        <v>123</v>
      </c>
    </row>
    <row r="26" spans="2:6" x14ac:dyDescent="0.25">
      <c r="B26" s="49" t="s">
        <v>124</v>
      </c>
      <c r="C26" s="49" t="s">
        <v>115</v>
      </c>
    </row>
    <row r="27" spans="2:6" x14ac:dyDescent="0.25">
      <c r="B27" s="49"/>
      <c r="C27" s="49"/>
    </row>
    <row r="28" spans="2:6" x14ac:dyDescent="0.25">
      <c r="B28" s="82" t="s">
        <v>116</v>
      </c>
      <c r="C28" s="49"/>
    </row>
    <row r="29" spans="2:6" x14ac:dyDescent="0.25">
      <c r="B29" s="49" t="s">
        <v>131</v>
      </c>
      <c r="C29" s="81">
        <v>0.16</v>
      </c>
      <c r="D29" t="s">
        <v>128</v>
      </c>
    </row>
    <row r="30" spans="2:6" x14ac:dyDescent="0.25">
      <c r="B30" s="49" t="s">
        <v>117</v>
      </c>
      <c r="C30" s="81">
        <v>0.1</v>
      </c>
      <c r="D30" t="s">
        <v>128</v>
      </c>
    </row>
    <row r="31" spans="2:6" x14ac:dyDescent="0.25">
      <c r="B31" s="49" t="s">
        <v>130</v>
      </c>
      <c r="C31">
        <v>200</v>
      </c>
      <c r="D31" t="s">
        <v>139</v>
      </c>
    </row>
    <row r="32" spans="2:6" x14ac:dyDescent="0.25">
      <c r="B32" s="49" t="s">
        <v>134</v>
      </c>
      <c r="C32">
        <v>300</v>
      </c>
      <c r="D32" t="s">
        <v>139</v>
      </c>
    </row>
    <row r="33" spans="2:5" x14ac:dyDescent="0.25">
      <c r="B33" s="49" t="s">
        <v>135</v>
      </c>
      <c r="C33">
        <v>100</v>
      </c>
      <c r="D33" t="s">
        <v>139</v>
      </c>
    </row>
    <row r="34" spans="2:5" x14ac:dyDescent="0.25">
      <c r="B34" s="49" t="s">
        <v>136</v>
      </c>
      <c r="C34" s="93">
        <f>E34/I11</f>
        <v>166.5000001665</v>
      </c>
      <c r="D34" t="s">
        <v>139</v>
      </c>
      <c r="E34" s="17">
        <v>500000</v>
      </c>
    </row>
    <row r="35" spans="2:5" x14ac:dyDescent="0.25">
      <c r="B35" s="49" t="s">
        <v>138</v>
      </c>
      <c r="C35" s="83">
        <v>1.4999999999999999E-2</v>
      </c>
      <c r="D35" t="s">
        <v>145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L27"/>
  <sheetViews>
    <sheetView topLeftCell="Y3" workbookViewId="0">
      <selection activeCell="A6" sqref="A6"/>
    </sheetView>
  </sheetViews>
  <sheetFormatPr baseColWidth="10" defaultRowHeight="15" x14ac:dyDescent="0.25"/>
  <cols>
    <col min="2" max="2" width="42.42578125" bestFit="1" customWidth="1"/>
    <col min="3" max="3" width="14.85546875" bestFit="1" customWidth="1"/>
    <col min="4" max="14" width="14.5703125" bestFit="1" customWidth="1"/>
    <col min="15" max="15" width="13.140625" bestFit="1" customWidth="1"/>
    <col min="16" max="32" width="12.5703125" bestFit="1" customWidth="1"/>
    <col min="33" max="38" width="13.5703125" bestFit="1" customWidth="1"/>
  </cols>
  <sheetData>
    <row r="2" spans="2:38" x14ac:dyDescent="0.25">
      <c r="B2" s="59" t="s">
        <v>99</v>
      </c>
    </row>
    <row r="3" spans="2:38" x14ac:dyDescent="0.25">
      <c r="C3">
        <v>2016</v>
      </c>
      <c r="O3">
        <v>2017</v>
      </c>
      <c r="AA3">
        <v>2018</v>
      </c>
    </row>
    <row r="4" spans="2:38" x14ac:dyDescent="0.25">
      <c r="C4" s="18" t="s">
        <v>27</v>
      </c>
      <c r="D4" s="18" t="s">
        <v>40</v>
      </c>
      <c r="E4" s="18" t="s">
        <v>41</v>
      </c>
      <c r="F4" s="18" t="s">
        <v>18</v>
      </c>
      <c r="G4" s="18" t="s">
        <v>42</v>
      </c>
      <c r="H4" s="18" t="s">
        <v>20</v>
      </c>
      <c r="I4" s="18" t="s">
        <v>21</v>
      </c>
      <c r="J4" s="18" t="s">
        <v>22</v>
      </c>
      <c r="K4" s="18" t="s">
        <v>43</v>
      </c>
      <c r="L4" s="18" t="s">
        <v>24</v>
      </c>
      <c r="M4" s="18" t="s">
        <v>25</v>
      </c>
      <c r="N4" s="18" t="s">
        <v>44</v>
      </c>
      <c r="O4" s="18" t="s">
        <v>27</v>
      </c>
      <c r="P4" s="18" t="s">
        <v>40</v>
      </c>
      <c r="Q4" s="18" t="s">
        <v>41</v>
      </c>
      <c r="R4" s="18" t="s">
        <v>18</v>
      </c>
      <c r="S4" s="18" t="s">
        <v>42</v>
      </c>
      <c r="T4" s="18" t="s">
        <v>20</v>
      </c>
      <c r="U4" s="18" t="s">
        <v>21</v>
      </c>
      <c r="V4" s="18" t="s">
        <v>22</v>
      </c>
      <c r="W4" s="18" t="s">
        <v>43</v>
      </c>
      <c r="X4" s="18" t="s">
        <v>24</v>
      </c>
      <c r="Y4" s="18" t="s">
        <v>25</v>
      </c>
      <c r="Z4" s="18" t="s">
        <v>44</v>
      </c>
      <c r="AA4" s="18" t="s">
        <v>27</v>
      </c>
      <c r="AB4" s="18" t="s">
        <v>40</v>
      </c>
      <c r="AC4" s="18" t="s">
        <v>41</v>
      </c>
      <c r="AD4" s="18" t="s">
        <v>18</v>
      </c>
      <c r="AE4" s="18" t="s">
        <v>42</v>
      </c>
      <c r="AF4" s="18" t="s">
        <v>20</v>
      </c>
      <c r="AG4" s="18" t="s">
        <v>21</v>
      </c>
      <c r="AH4" s="18" t="s">
        <v>22</v>
      </c>
      <c r="AI4" s="18" t="s">
        <v>43</v>
      </c>
      <c r="AJ4" s="18" t="s">
        <v>24</v>
      </c>
      <c r="AK4" s="18" t="s">
        <v>25</v>
      </c>
      <c r="AL4" s="18" t="s">
        <v>44</v>
      </c>
    </row>
    <row r="5" spans="2:38" x14ac:dyDescent="0.25">
      <c r="B5" s="60" t="s">
        <v>100</v>
      </c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C5" s="61"/>
      <c r="AD5" s="61"/>
      <c r="AE5" s="61"/>
      <c r="AF5" s="61"/>
      <c r="AG5" s="61"/>
      <c r="AH5" s="61"/>
      <c r="AI5" s="61"/>
      <c r="AJ5" s="61"/>
      <c r="AK5" s="61"/>
      <c r="AL5" s="61"/>
    </row>
    <row r="6" spans="2:38" x14ac:dyDescent="0.25">
      <c r="B6" s="95" t="s">
        <v>146</v>
      </c>
      <c r="C6" s="96">
        <v>10000000</v>
      </c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96">
        <f>N24</f>
        <v>-6749532.1739078816</v>
      </c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  <c r="AA6" s="96">
        <f>Z24</f>
        <v>-11897792.919973087</v>
      </c>
      <c r="AB6" s="61"/>
      <c r="AC6" s="61"/>
      <c r="AD6" s="61"/>
      <c r="AE6" s="61"/>
      <c r="AF6" s="61"/>
      <c r="AG6" s="61"/>
      <c r="AH6" s="61"/>
      <c r="AI6" s="61"/>
      <c r="AJ6" s="61"/>
      <c r="AK6" s="61"/>
      <c r="AL6" s="61"/>
    </row>
    <row r="7" spans="2:38" x14ac:dyDescent="0.25">
      <c r="B7" s="62" t="s">
        <v>101</v>
      </c>
      <c r="C7" s="63"/>
      <c r="D7" s="63">
        <f>+'Presupuesto de Ventas'!B8</f>
        <v>8700000</v>
      </c>
      <c r="E7" s="63">
        <f>+'Presupuesto de Ventas'!C8</f>
        <v>8790000</v>
      </c>
      <c r="F7" s="63">
        <f>+'Presupuesto de Ventas'!D8</f>
        <v>8820000</v>
      </c>
      <c r="G7" s="63">
        <f>+'Presupuesto de Ventas'!E8</f>
        <v>8999460</v>
      </c>
      <c r="H7" s="63">
        <f>+'Presupuesto de Ventas'!F8</f>
        <v>9092880</v>
      </c>
      <c r="I7" s="63">
        <f>+'Presupuesto de Ventas'!G8</f>
        <v>9124020</v>
      </c>
      <c r="J7" s="63">
        <f>+'Presupuesto de Ventas'!H8</f>
        <v>9061740</v>
      </c>
      <c r="K7" s="63">
        <f>+'Presupuesto de Ventas'!I8</f>
        <v>9155160</v>
      </c>
      <c r="L7" s="63">
        <f>+'Presupuesto de Ventas'!J8</f>
        <v>9186300</v>
      </c>
      <c r="M7" s="63">
        <f>+'Presupuesto de Ventas'!K8</f>
        <v>9458040</v>
      </c>
      <c r="N7" s="63">
        <f>+'Presupuesto de Ventas'!L8</f>
        <v>9554880</v>
      </c>
      <c r="O7" s="63">
        <f>+'Presupuesto de Ventas'!M8</f>
        <v>9587160</v>
      </c>
      <c r="P7" s="63">
        <f>+'Presupuesto de Ventas'!N8</f>
        <v>9522600</v>
      </c>
      <c r="Q7" s="63">
        <f>+'Presupuesto de Ventas'!O8</f>
        <v>9619440</v>
      </c>
      <c r="R7" s="63">
        <f>+'Presupuesto de Ventas'!P8</f>
        <v>9651720</v>
      </c>
      <c r="S7" s="63">
        <f>+'Presupuesto de Ventas'!Q8</f>
        <v>9970646.3999999985</v>
      </c>
      <c r="T7" s="63">
        <f>+'Presupuesto de Ventas'!R8</f>
        <v>10071360</v>
      </c>
      <c r="U7" s="63">
        <f>+'Presupuesto de Ventas'!S8</f>
        <v>10104931.199999999</v>
      </c>
      <c r="V7" s="63">
        <f>+'Presupuesto de Ventas'!T8</f>
        <v>10004217.6</v>
      </c>
      <c r="W7" s="63">
        <f>+'Presupuesto de Ventas'!U8</f>
        <v>10104931.199999999</v>
      </c>
      <c r="X7" s="63">
        <f>+'Presupuesto de Ventas'!V8</f>
        <v>10138502.399999999</v>
      </c>
      <c r="Y7" s="63">
        <f>+'Presupuesto de Ventas'!W8</f>
        <v>10423857.6</v>
      </c>
      <c r="Z7" s="63">
        <f>+'Presupuesto de Ventas'!X8</f>
        <v>10528444.800000001</v>
      </c>
      <c r="AA7" s="63">
        <f>+'Presupuesto de Ventas'!Y8</f>
        <v>10563307.200000001</v>
      </c>
      <c r="AB7" s="63">
        <f>+'Presupuesto de Ventas'!Z8</f>
        <v>10458720</v>
      </c>
      <c r="AC7" s="63">
        <f>+'Presupuesto de Ventas'!AA8</f>
        <v>10563307.200000001</v>
      </c>
      <c r="AD7" s="63">
        <f>+'Presupuesto de Ventas'!AB8</f>
        <v>10598169.6</v>
      </c>
      <c r="AE7" s="63">
        <f>+'Presupuesto de Ventas'!AC8</f>
        <v>10860857.784</v>
      </c>
      <c r="AF7" s="63">
        <f>+'Presupuesto de Ventas'!AD8</f>
        <v>11005188.120000001</v>
      </c>
      <c r="AG7" s="63">
        <f>+'Presupuesto de Ventas'!AE8</f>
        <v>11041270.704</v>
      </c>
      <c r="AH7" s="63">
        <f>+'Presupuesto de Ventas'!AF8</f>
        <v>10933022.952000001</v>
      </c>
      <c r="AI7" s="63">
        <f>+'Presupuesto de Ventas'!AG8</f>
        <v>11077353.288000001</v>
      </c>
      <c r="AJ7" s="63">
        <f>+'Presupuesto de Ventas'!AH8</f>
        <v>11113435.872000001</v>
      </c>
      <c r="AK7" s="63">
        <f>+'Presupuesto de Ventas'!AI8</f>
        <v>11377344.24</v>
      </c>
      <c r="AL7" s="63">
        <f>+'Presupuesto de Ventas'!AJ8</f>
        <v>11526555.312000001</v>
      </c>
    </row>
    <row r="8" spans="2:38" x14ac:dyDescent="0.25">
      <c r="B8" s="64" t="s">
        <v>102</v>
      </c>
      <c r="C8" s="65">
        <f>C7+C6</f>
        <v>10000000</v>
      </c>
      <c r="D8" s="65">
        <f>D7</f>
        <v>8700000</v>
      </c>
      <c r="E8" s="65">
        <f>E7</f>
        <v>8790000</v>
      </c>
      <c r="F8" s="65">
        <f t="shared" ref="F8:N8" si="0">F7</f>
        <v>8820000</v>
      </c>
      <c r="G8" s="65">
        <f t="shared" si="0"/>
        <v>8999460</v>
      </c>
      <c r="H8" s="65">
        <f t="shared" si="0"/>
        <v>9092880</v>
      </c>
      <c r="I8" s="65">
        <f t="shared" si="0"/>
        <v>9124020</v>
      </c>
      <c r="J8" s="65">
        <f t="shared" si="0"/>
        <v>9061740</v>
      </c>
      <c r="K8" s="65">
        <f t="shared" si="0"/>
        <v>9155160</v>
      </c>
      <c r="L8" s="65">
        <f t="shared" si="0"/>
        <v>9186300</v>
      </c>
      <c r="M8" s="65">
        <f t="shared" si="0"/>
        <v>9458040</v>
      </c>
      <c r="N8" s="65">
        <f t="shared" si="0"/>
        <v>9554880</v>
      </c>
      <c r="O8" s="65">
        <f>SUM(O6:O7)</f>
        <v>2837627.8260921184</v>
      </c>
      <c r="P8" s="65">
        <f t="shared" ref="P8:AL8" si="1">P7</f>
        <v>9522600</v>
      </c>
      <c r="Q8" s="65">
        <f t="shared" si="1"/>
        <v>9619440</v>
      </c>
      <c r="R8" s="65">
        <f t="shared" si="1"/>
        <v>9651720</v>
      </c>
      <c r="S8" s="65">
        <f t="shared" si="1"/>
        <v>9970646.3999999985</v>
      </c>
      <c r="T8" s="65">
        <f t="shared" si="1"/>
        <v>10071360</v>
      </c>
      <c r="U8" s="65">
        <f t="shared" si="1"/>
        <v>10104931.199999999</v>
      </c>
      <c r="V8" s="65">
        <f t="shared" si="1"/>
        <v>10004217.6</v>
      </c>
      <c r="W8" s="65">
        <f t="shared" si="1"/>
        <v>10104931.199999999</v>
      </c>
      <c r="X8" s="65">
        <f t="shared" si="1"/>
        <v>10138502.399999999</v>
      </c>
      <c r="Y8" s="65">
        <f t="shared" si="1"/>
        <v>10423857.6</v>
      </c>
      <c r="Z8" s="65">
        <f t="shared" si="1"/>
        <v>10528444.800000001</v>
      </c>
      <c r="AA8" s="65">
        <f>SUM(AA6:AA7)</f>
        <v>-1334485.7199730854</v>
      </c>
      <c r="AB8" s="65">
        <f t="shared" si="1"/>
        <v>10458720</v>
      </c>
      <c r="AC8" s="65">
        <f t="shared" si="1"/>
        <v>10563307.200000001</v>
      </c>
      <c r="AD8" s="65">
        <f t="shared" si="1"/>
        <v>10598169.6</v>
      </c>
      <c r="AE8" s="65">
        <f t="shared" si="1"/>
        <v>10860857.784</v>
      </c>
      <c r="AF8" s="65">
        <f t="shared" si="1"/>
        <v>11005188.120000001</v>
      </c>
      <c r="AG8" s="65">
        <f t="shared" si="1"/>
        <v>11041270.704</v>
      </c>
      <c r="AH8" s="65">
        <f t="shared" si="1"/>
        <v>10933022.952000001</v>
      </c>
      <c r="AI8" s="65">
        <f t="shared" si="1"/>
        <v>11077353.288000001</v>
      </c>
      <c r="AJ8" s="65">
        <f t="shared" si="1"/>
        <v>11113435.872000001</v>
      </c>
      <c r="AK8" s="65">
        <f t="shared" si="1"/>
        <v>11377344.24</v>
      </c>
      <c r="AL8" s="65">
        <f t="shared" si="1"/>
        <v>11526555.312000001</v>
      </c>
    </row>
    <row r="10" spans="2:38" x14ac:dyDescent="0.25">
      <c r="B10" s="66" t="s">
        <v>103</v>
      </c>
      <c r="C10" s="67"/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7"/>
      <c r="AD10" s="67"/>
      <c r="AE10" s="67"/>
      <c r="AF10" s="67"/>
      <c r="AG10" s="67"/>
      <c r="AH10" s="67"/>
      <c r="AI10" s="67"/>
      <c r="AJ10" s="67"/>
      <c r="AK10" s="67"/>
      <c r="AL10" s="67"/>
    </row>
    <row r="11" spans="2:38" x14ac:dyDescent="0.25">
      <c r="B11" s="68" t="s">
        <v>5</v>
      </c>
      <c r="C11" s="69">
        <f>'Estado de Resultados'!$C$12/12</f>
        <v>4393107.0032133339</v>
      </c>
      <c r="D11" s="69">
        <f>'Estado de Resultados'!$C$12/12</f>
        <v>4393107.0032133339</v>
      </c>
      <c r="E11" s="69">
        <f>'Estado de Resultados'!$C$12/12</f>
        <v>4393107.0032133339</v>
      </c>
      <c r="F11" s="69">
        <f>'Estado de Resultados'!$C$12/12</f>
        <v>4393107.0032133339</v>
      </c>
      <c r="G11" s="69">
        <f>'Estado de Resultados'!$C$12/12</f>
        <v>4393107.0032133339</v>
      </c>
      <c r="H11" s="69">
        <f>'Estado de Resultados'!$C$12/12</f>
        <v>4393107.0032133339</v>
      </c>
      <c r="I11" s="69">
        <f>'Estado de Resultados'!$C$12/12</f>
        <v>4393107.0032133339</v>
      </c>
      <c r="J11" s="69">
        <f>'Estado de Resultados'!$C$12/12</f>
        <v>4393107.0032133339</v>
      </c>
      <c r="K11" s="69">
        <f>'Estado de Resultados'!$C$12/12</f>
        <v>4393107.0032133339</v>
      </c>
      <c r="L11" s="69">
        <f>'Estado de Resultados'!$C$12/12</f>
        <v>4393107.0032133339</v>
      </c>
      <c r="M11" s="69">
        <f>'Estado de Resultados'!$C$12/12</f>
        <v>4393107.0032133339</v>
      </c>
      <c r="N11" s="69">
        <f>'Estado de Resultados'!$C$12/12</f>
        <v>4393107.0032133339</v>
      </c>
      <c r="O11" s="69">
        <f>'Estado de Resultados'!$K$12/12</f>
        <v>4990561.2034703996</v>
      </c>
      <c r="P11" s="69">
        <f>'Estado de Resultados'!$K$12/12</f>
        <v>4990561.2034703996</v>
      </c>
      <c r="Q11" s="69">
        <f>'Estado de Resultados'!$K$12/12</f>
        <v>4990561.2034703996</v>
      </c>
      <c r="R11" s="69">
        <f>'Estado de Resultados'!$K$12/12</f>
        <v>4990561.2034703996</v>
      </c>
      <c r="S11" s="69">
        <f>'Estado de Resultados'!$K$12/12</f>
        <v>4990561.2034703996</v>
      </c>
      <c r="T11" s="69">
        <f>'Estado de Resultados'!$K$12/12</f>
        <v>4990561.2034703996</v>
      </c>
      <c r="U11" s="69">
        <f>'Estado de Resultados'!$K$12/12</f>
        <v>4990561.2034703996</v>
      </c>
      <c r="V11" s="69">
        <f>'Estado de Resultados'!$K$12/12</f>
        <v>4990561.2034703996</v>
      </c>
      <c r="W11" s="69">
        <f>'Estado de Resultados'!$K$12/12</f>
        <v>4990561.2034703996</v>
      </c>
      <c r="X11" s="69">
        <f>'Estado de Resultados'!$K$12/12</f>
        <v>4990561.2034703996</v>
      </c>
      <c r="Y11" s="69">
        <f>'Estado de Resultados'!$K$12/12</f>
        <v>4990561.2034703996</v>
      </c>
      <c r="Z11" s="69">
        <f>'Estado de Resultados'!$K$12/12</f>
        <v>4990561.2034703996</v>
      </c>
      <c r="AA11" s="69">
        <f>'Estado de Resultados'!$S$12/12</f>
        <v>5053926.5239799945</v>
      </c>
      <c r="AB11" s="69">
        <f>'Estado de Resultados'!$S$12/12</f>
        <v>5053926.5239799945</v>
      </c>
      <c r="AC11" s="69">
        <f>'Estado de Resultados'!$S$12/12</f>
        <v>5053926.5239799945</v>
      </c>
      <c r="AD11" s="69">
        <f>'Estado de Resultados'!$S$12/12</f>
        <v>5053926.5239799945</v>
      </c>
      <c r="AE11" s="69">
        <f>'Estado de Resultados'!$S$12/12</f>
        <v>5053926.5239799945</v>
      </c>
      <c r="AF11" s="69">
        <f>'Estado de Resultados'!$S$12/12</f>
        <v>5053926.5239799945</v>
      </c>
      <c r="AG11" s="69">
        <f>'Estado de Resultados'!$S$12/12</f>
        <v>5053926.5239799945</v>
      </c>
      <c r="AH11" s="69">
        <f>'Estado de Resultados'!$S$12/12</f>
        <v>5053926.5239799945</v>
      </c>
      <c r="AI11" s="69">
        <f>'Estado de Resultados'!$S$12/12</f>
        <v>5053926.5239799945</v>
      </c>
      <c r="AJ11" s="69">
        <f>'Estado de Resultados'!$S$12/12</f>
        <v>5053926.5239799945</v>
      </c>
      <c r="AK11" s="69">
        <f>'Estado de Resultados'!$S$12/12</f>
        <v>5053926.5239799945</v>
      </c>
      <c r="AL11" s="69">
        <f>'Estado de Resultados'!$S$12/12</f>
        <v>5053926.5239799945</v>
      </c>
    </row>
    <row r="12" spans="2:38" x14ac:dyDescent="0.25">
      <c r="B12" s="75" t="s">
        <v>86</v>
      </c>
      <c r="C12" s="69">
        <f>'Estado de Resultados'!$C$13/12</f>
        <v>322000</v>
      </c>
      <c r="D12" s="69">
        <f>'Estado de Resultados'!$C$13/12</f>
        <v>322000</v>
      </c>
      <c r="E12" s="69">
        <f>'Estado de Resultados'!$C$13/12</f>
        <v>322000</v>
      </c>
      <c r="F12" s="69">
        <f>'Estado de Resultados'!$C$13/12</f>
        <v>322000</v>
      </c>
      <c r="G12" s="69">
        <f>'Estado de Resultados'!$C$13/12</f>
        <v>322000</v>
      </c>
      <c r="H12" s="69">
        <f>'Estado de Resultados'!$C$13/12</f>
        <v>322000</v>
      </c>
      <c r="I12" s="69">
        <f>'Estado de Resultados'!$C$13/12</f>
        <v>322000</v>
      </c>
      <c r="J12" s="69">
        <f>'Estado de Resultados'!$C$13/12</f>
        <v>322000</v>
      </c>
      <c r="K12" s="69">
        <f>'Estado de Resultados'!$C$13/12</f>
        <v>322000</v>
      </c>
      <c r="L12" s="69">
        <f>'Estado de Resultados'!$C$13/12</f>
        <v>322000</v>
      </c>
      <c r="M12" s="69">
        <f>'Estado de Resultados'!$C$13/12</f>
        <v>322000</v>
      </c>
      <c r="N12" s="69">
        <f>'Estado de Resultados'!$C$13/12</f>
        <v>322000</v>
      </c>
      <c r="O12" s="69">
        <f>+'Estado de Resultados'!$K$13/12</f>
        <v>347760</v>
      </c>
      <c r="P12" s="69">
        <f>+'Estado de Resultados'!$K$13/12</f>
        <v>347760</v>
      </c>
      <c r="Q12" s="69">
        <f>+'Estado de Resultados'!$K$13/12</f>
        <v>347760</v>
      </c>
      <c r="R12" s="69">
        <f>+'Estado de Resultados'!$K$13/12</f>
        <v>347760</v>
      </c>
      <c r="S12" s="69">
        <f>+'Estado de Resultados'!$K$13/12</f>
        <v>347760</v>
      </c>
      <c r="T12" s="69">
        <f>+'Estado de Resultados'!$K$13/12</f>
        <v>347760</v>
      </c>
      <c r="U12" s="69">
        <f>+'Estado de Resultados'!$K$13/12</f>
        <v>347760</v>
      </c>
      <c r="V12" s="69">
        <f>+'Estado de Resultados'!$K$13/12</f>
        <v>347760</v>
      </c>
      <c r="W12" s="69">
        <f>+'Estado de Resultados'!$K$13/12</f>
        <v>347760</v>
      </c>
      <c r="X12" s="69">
        <f>+'Estado de Resultados'!$K$13/12</f>
        <v>347760</v>
      </c>
      <c r="Y12" s="69">
        <f>+'Estado de Resultados'!$K$13/12</f>
        <v>347760</v>
      </c>
      <c r="Z12" s="69">
        <f>+'Estado de Resultados'!$K$13/12</f>
        <v>347760</v>
      </c>
      <c r="AA12" s="69">
        <f>'Estado de Resultados'!$S$13/12</f>
        <v>368657.80000000005</v>
      </c>
      <c r="AB12" s="69">
        <f>'Estado de Resultados'!$S$13/12</f>
        <v>368657.80000000005</v>
      </c>
      <c r="AC12" s="69">
        <f>'Estado de Resultados'!$S$13/12</f>
        <v>368657.80000000005</v>
      </c>
      <c r="AD12" s="69">
        <f>'Estado de Resultados'!$S$13/12</f>
        <v>368657.80000000005</v>
      </c>
      <c r="AE12" s="69">
        <f>'Estado de Resultados'!$S$13/12</f>
        <v>368657.80000000005</v>
      </c>
      <c r="AF12" s="69">
        <f>'Estado de Resultados'!$S$13/12</f>
        <v>368657.80000000005</v>
      </c>
      <c r="AG12" s="69">
        <f>'Estado de Resultados'!$S$13/12</f>
        <v>368657.80000000005</v>
      </c>
      <c r="AH12" s="69">
        <f>'Estado de Resultados'!$S$13/12</f>
        <v>368657.80000000005</v>
      </c>
      <c r="AI12" s="69">
        <f>'Estado de Resultados'!$S$13/12</f>
        <v>368657.80000000005</v>
      </c>
      <c r="AJ12" s="69">
        <f>'Estado de Resultados'!$S$13/12</f>
        <v>368657.80000000005</v>
      </c>
      <c r="AK12" s="69">
        <f>'Estado de Resultados'!$S$13/12</f>
        <v>368657.80000000005</v>
      </c>
      <c r="AL12" s="69">
        <f>'Estado de Resultados'!$S$13/12</f>
        <v>368657.80000000005</v>
      </c>
    </row>
    <row r="13" spans="2:38" x14ac:dyDescent="0.25">
      <c r="B13" s="75" t="s">
        <v>87</v>
      </c>
      <c r="C13" s="69">
        <f>'Estado de Resultados'!$C$14/12</f>
        <v>200000</v>
      </c>
      <c r="D13" s="69">
        <f>'Estado de Resultados'!$C$14/12</f>
        <v>200000</v>
      </c>
      <c r="E13" s="69">
        <f>'Estado de Resultados'!$C$14/12</f>
        <v>200000</v>
      </c>
      <c r="F13" s="69">
        <f>'Estado de Resultados'!$C$14/12</f>
        <v>200000</v>
      </c>
      <c r="G13" s="69">
        <f>'Estado de Resultados'!$C$14/12</f>
        <v>200000</v>
      </c>
      <c r="H13" s="69">
        <f>'Estado de Resultados'!$C$14/12</f>
        <v>200000</v>
      </c>
      <c r="I13" s="69">
        <f>'Estado de Resultados'!$C$14/12</f>
        <v>200000</v>
      </c>
      <c r="J13" s="69">
        <f>'Estado de Resultados'!$C$14/12</f>
        <v>200000</v>
      </c>
      <c r="K13" s="69">
        <f>'Estado de Resultados'!$C$14/12</f>
        <v>200000</v>
      </c>
      <c r="L13" s="69">
        <f>'Estado de Resultados'!$C$14/12</f>
        <v>200000</v>
      </c>
      <c r="M13" s="69">
        <f>'Estado de Resultados'!$C$14/12</f>
        <v>200000</v>
      </c>
      <c r="N13" s="69">
        <f>'Estado de Resultados'!$C$14/12</f>
        <v>200000</v>
      </c>
      <c r="O13" s="69">
        <f>'Estado de Resultados'!$K$14/12</f>
        <v>216000</v>
      </c>
      <c r="P13" s="69">
        <f>'Estado de Resultados'!$K$14/12</f>
        <v>216000</v>
      </c>
      <c r="Q13" s="69">
        <f>'Estado de Resultados'!$K$14/12</f>
        <v>216000</v>
      </c>
      <c r="R13" s="69">
        <f>'Estado de Resultados'!$K$14/12</f>
        <v>216000</v>
      </c>
      <c r="S13" s="69">
        <f>'Estado de Resultados'!$K$14/12</f>
        <v>216000</v>
      </c>
      <c r="T13" s="69">
        <f>'Estado de Resultados'!$K$14/12</f>
        <v>216000</v>
      </c>
      <c r="U13" s="69">
        <f>'Estado de Resultados'!$K$14/12</f>
        <v>216000</v>
      </c>
      <c r="V13" s="69">
        <f>'Estado de Resultados'!$K$14/12</f>
        <v>216000</v>
      </c>
      <c r="W13" s="69">
        <f>'Estado de Resultados'!$K$14/12</f>
        <v>216000</v>
      </c>
      <c r="X13" s="69">
        <f>'Estado de Resultados'!$K$14/12</f>
        <v>216000</v>
      </c>
      <c r="Y13" s="69">
        <f>'Estado de Resultados'!$K$14/12</f>
        <v>216000</v>
      </c>
      <c r="Z13" s="69">
        <f>'Estado de Resultados'!$K$14/12</f>
        <v>216000</v>
      </c>
      <c r="AA13" s="69">
        <f>'Estado de Resultados'!$S$14/12</f>
        <v>228980</v>
      </c>
      <c r="AB13" s="69">
        <f>'Estado de Resultados'!$S$14/12</f>
        <v>228980</v>
      </c>
      <c r="AC13" s="69">
        <f>'Estado de Resultados'!$S$14/12</f>
        <v>228980</v>
      </c>
      <c r="AD13" s="69">
        <f>'Estado de Resultados'!$S$14/12</f>
        <v>228980</v>
      </c>
      <c r="AE13" s="69">
        <f>'Estado de Resultados'!$S$14/12</f>
        <v>228980</v>
      </c>
      <c r="AF13" s="69">
        <f>'Estado de Resultados'!$S$14/12</f>
        <v>228980</v>
      </c>
      <c r="AG13" s="69">
        <f>'Estado de Resultados'!$S$14/12</f>
        <v>228980</v>
      </c>
      <c r="AH13" s="69">
        <f>'Estado de Resultados'!$S$14/12</f>
        <v>228980</v>
      </c>
      <c r="AI13" s="69">
        <f>'Estado de Resultados'!$S$14/12</f>
        <v>228980</v>
      </c>
      <c r="AJ13" s="69">
        <f>'Estado de Resultados'!$S$14/12</f>
        <v>228980</v>
      </c>
      <c r="AK13" s="69">
        <f>'Estado de Resultados'!$S$14/12</f>
        <v>228980</v>
      </c>
      <c r="AL13" s="69">
        <f>'Estado de Resultados'!$S$14/12</f>
        <v>228980</v>
      </c>
    </row>
    <row r="14" spans="2:38" x14ac:dyDescent="0.25">
      <c r="B14" s="75" t="s">
        <v>88</v>
      </c>
      <c r="C14" s="69">
        <f>'Estado de Resultados'!$C$15</f>
        <v>350000</v>
      </c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>
        <f>'Estado de Resultados'!$C$15</f>
        <v>350000</v>
      </c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>
        <f>'Estado de Resultados'!$C$15</f>
        <v>350000</v>
      </c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</row>
    <row r="15" spans="2:38" x14ac:dyDescent="0.25">
      <c r="B15" s="75" t="s">
        <v>89</v>
      </c>
      <c r="C15" s="69">
        <f>'Estado de Resultados'!$C$17/12</f>
        <v>450000</v>
      </c>
      <c r="D15" s="69">
        <f>'Estado de Resultados'!$C$17/12</f>
        <v>450000</v>
      </c>
      <c r="E15" s="69">
        <f>'Estado de Resultados'!$C$17/12</f>
        <v>450000</v>
      </c>
      <c r="F15" s="69">
        <f>'Estado de Resultados'!$C$17/12</f>
        <v>450000</v>
      </c>
      <c r="G15" s="69">
        <f>'Estado de Resultados'!$C$17/12</f>
        <v>450000</v>
      </c>
      <c r="H15" s="69">
        <f>'Estado de Resultados'!$C$17/12</f>
        <v>450000</v>
      </c>
      <c r="I15" s="69">
        <f>'Estado de Resultados'!$C$17/12</f>
        <v>450000</v>
      </c>
      <c r="J15" s="69">
        <f>'Estado de Resultados'!$C$17/12</f>
        <v>450000</v>
      </c>
      <c r="K15" s="69">
        <f>'Estado de Resultados'!$C$17/12</f>
        <v>450000</v>
      </c>
      <c r="L15" s="69">
        <f>'Estado de Resultados'!$C$17/12</f>
        <v>450000</v>
      </c>
      <c r="M15" s="69">
        <f>'Estado de Resultados'!$C$17/12</f>
        <v>450000</v>
      </c>
      <c r="N15" s="69">
        <f>'Estado de Resultados'!$C$17/12</f>
        <v>450000</v>
      </c>
      <c r="O15" s="69">
        <f>'Estado de Resultados'!$K$17/12</f>
        <v>520000</v>
      </c>
      <c r="P15" s="69">
        <f>'Estado de Resultados'!$K$17/12</f>
        <v>520000</v>
      </c>
      <c r="Q15" s="69">
        <f>'Estado de Resultados'!$K$17/12</f>
        <v>520000</v>
      </c>
      <c r="R15" s="69">
        <f>'Estado de Resultados'!$K$17/12</f>
        <v>520000</v>
      </c>
      <c r="S15" s="69">
        <f>'Estado de Resultados'!$K$17/12</f>
        <v>520000</v>
      </c>
      <c r="T15" s="69">
        <f>'Estado de Resultados'!$K$17/12</f>
        <v>520000</v>
      </c>
      <c r="U15" s="69">
        <f>'Estado de Resultados'!$K$17/12</f>
        <v>520000</v>
      </c>
      <c r="V15" s="69">
        <f>'Estado de Resultados'!$K$17/12</f>
        <v>520000</v>
      </c>
      <c r="W15" s="69">
        <f>'Estado de Resultados'!$K$17/12</f>
        <v>520000</v>
      </c>
      <c r="X15" s="69">
        <f>'Estado de Resultados'!$K$17/12</f>
        <v>520000</v>
      </c>
      <c r="Y15" s="69">
        <f>'Estado de Resultados'!$K$17/12</f>
        <v>520000</v>
      </c>
      <c r="Z15" s="69">
        <f>'Estado de Resultados'!$K$17/12</f>
        <v>520000</v>
      </c>
      <c r="AA15" s="69">
        <f>'Estado de Resultados'!$S$17/12</f>
        <v>540000</v>
      </c>
      <c r="AB15" s="69">
        <f>'Estado de Resultados'!$S$17/12</f>
        <v>540000</v>
      </c>
      <c r="AC15" s="69">
        <f>'Estado de Resultados'!$S$17/12</f>
        <v>540000</v>
      </c>
      <c r="AD15" s="69">
        <f>'Estado de Resultados'!$S$17/12</f>
        <v>540000</v>
      </c>
      <c r="AE15" s="69">
        <f>'Estado de Resultados'!$S$17/12</f>
        <v>540000</v>
      </c>
      <c r="AF15" s="69">
        <f>'Estado de Resultados'!$S$17/12</f>
        <v>540000</v>
      </c>
      <c r="AG15" s="69">
        <f>'Estado de Resultados'!$S$17/12</f>
        <v>540000</v>
      </c>
      <c r="AH15" s="69">
        <f>'Estado de Resultados'!$S$17/12</f>
        <v>540000</v>
      </c>
      <c r="AI15" s="69">
        <f>'Estado de Resultados'!$S$17/12</f>
        <v>540000</v>
      </c>
      <c r="AJ15" s="69">
        <f>'Estado de Resultados'!$S$17/12</f>
        <v>540000</v>
      </c>
      <c r="AK15" s="69">
        <f>'Estado de Resultados'!$S$17/12</f>
        <v>540000</v>
      </c>
      <c r="AL15" s="69">
        <f>'Estado de Resultados'!$S$17/12</f>
        <v>540000</v>
      </c>
    </row>
    <row r="16" spans="2:38" x14ac:dyDescent="0.25">
      <c r="B16" s="75" t="s">
        <v>147</v>
      </c>
      <c r="C16" s="69">
        <f>'Estado de Resultados'!$C$16/12</f>
        <v>491666.66666666669</v>
      </c>
      <c r="D16" s="69">
        <f>'Estado de Resultados'!$C$16/12</f>
        <v>491666.66666666669</v>
      </c>
      <c r="E16" s="69">
        <f>'Estado de Resultados'!$C$16/12</f>
        <v>491666.66666666669</v>
      </c>
      <c r="F16" s="69">
        <f>'Estado de Resultados'!$C$16/12</f>
        <v>491666.66666666669</v>
      </c>
      <c r="G16" s="69">
        <f>'Estado de Resultados'!$C$16/12</f>
        <v>491666.66666666669</v>
      </c>
      <c r="H16" s="69">
        <f>'Estado de Resultados'!$C$16/12</f>
        <v>491666.66666666669</v>
      </c>
      <c r="I16" s="69">
        <f>'Estado de Resultados'!$C$16/12</f>
        <v>491666.66666666669</v>
      </c>
      <c r="J16" s="69">
        <f>'Estado de Resultados'!$C$16/12</f>
        <v>491666.66666666669</v>
      </c>
      <c r="K16" s="69">
        <f>'Estado de Resultados'!$C$16/12</f>
        <v>491666.66666666669</v>
      </c>
      <c r="L16" s="69">
        <f>'Estado de Resultados'!$C$16/12</f>
        <v>491666.66666666669</v>
      </c>
      <c r="M16" s="69">
        <f>'Estado de Resultados'!$C$16/12</f>
        <v>491666.66666666669</v>
      </c>
      <c r="N16" s="69">
        <f>'Estado de Resultados'!$C$16/12</f>
        <v>491666.66666666669</v>
      </c>
      <c r="O16" s="69">
        <f>'Estado de Resultados'!$K$16/12</f>
        <v>358333.33333333331</v>
      </c>
      <c r="P16" s="69">
        <f>'Estado de Resultados'!$K$16/12</f>
        <v>358333.33333333331</v>
      </c>
      <c r="Q16" s="69">
        <f>'Estado de Resultados'!$K$16/12</f>
        <v>358333.33333333331</v>
      </c>
      <c r="R16" s="69">
        <f>'Estado de Resultados'!$K$16/12</f>
        <v>358333.33333333331</v>
      </c>
      <c r="S16" s="69">
        <f>'Estado de Resultados'!$K$16/12</f>
        <v>358333.33333333331</v>
      </c>
      <c r="T16" s="69">
        <f>'Estado de Resultados'!$K$16/12</f>
        <v>358333.33333333331</v>
      </c>
      <c r="U16" s="69">
        <f>'Estado de Resultados'!$K$16/12</f>
        <v>358333.33333333331</v>
      </c>
      <c r="V16" s="69">
        <f>'Estado de Resultados'!$K$16/12</f>
        <v>358333.33333333331</v>
      </c>
      <c r="W16" s="69">
        <f>'Estado de Resultados'!$K$16/12</f>
        <v>358333.33333333331</v>
      </c>
      <c r="X16" s="69">
        <f>'Estado de Resultados'!$K$16/12</f>
        <v>358333.33333333331</v>
      </c>
      <c r="Y16" s="69">
        <f>'Estado de Resultados'!$K$16/12</f>
        <v>358333.33333333331</v>
      </c>
      <c r="Z16" s="69">
        <f>'Estado de Resultados'!$K$16/12</f>
        <v>358333.33333333331</v>
      </c>
      <c r="AA16" s="69">
        <f>'Estado de Resultados'!$S$16/12</f>
        <v>366666.66666666669</v>
      </c>
      <c r="AB16" s="69">
        <f>'Estado de Resultados'!$S$16/12</f>
        <v>366666.66666666669</v>
      </c>
      <c r="AC16" s="69">
        <f>'Estado de Resultados'!$S$16/12</f>
        <v>366666.66666666669</v>
      </c>
      <c r="AD16" s="69">
        <f>'Estado de Resultados'!$S$16/12</f>
        <v>366666.66666666669</v>
      </c>
      <c r="AE16" s="69">
        <f>'Estado de Resultados'!$S$16/12</f>
        <v>366666.66666666669</v>
      </c>
      <c r="AF16" s="69">
        <f>'Estado de Resultados'!$S$16/12</f>
        <v>366666.66666666669</v>
      </c>
      <c r="AG16" s="69">
        <f>'Estado de Resultados'!$S$16/12</f>
        <v>366666.66666666669</v>
      </c>
      <c r="AH16" s="69">
        <f>'Estado de Resultados'!$S$16/12</f>
        <v>366666.66666666669</v>
      </c>
      <c r="AI16" s="69">
        <f>'Estado de Resultados'!$S$16/12</f>
        <v>366666.66666666669</v>
      </c>
      <c r="AJ16" s="69">
        <f>'Estado de Resultados'!$S$16/12</f>
        <v>366666.66666666669</v>
      </c>
      <c r="AK16" s="69">
        <f>'Estado de Resultados'!$S$16/12</f>
        <v>366666.66666666669</v>
      </c>
      <c r="AL16" s="69">
        <f>'Estado de Resultados'!$S$16/12</f>
        <v>366666.66666666669</v>
      </c>
    </row>
    <row r="17" spans="2:38" x14ac:dyDescent="0.25">
      <c r="B17" s="75" t="s">
        <v>107</v>
      </c>
      <c r="C17" s="69">
        <f>Proveedores!C7</f>
        <v>3444166.6637224997</v>
      </c>
      <c r="D17" s="69">
        <f>Proveedores!D7</f>
        <v>3479795.9740368705</v>
      </c>
      <c r="E17" s="69">
        <f>Proveedores!E7</f>
        <v>3491672.4108083276</v>
      </c>
      <c r="F17" s="69">
        <f>Proveedores!F7</f>
        <v>3562717.2555751828</v>
      </c>
      <c r="G17" s="69">
        <f>Proveedores!G7</f>
        <v>3599700.4796814993</v>
      </c>
      <c r="H17" s="69">
        <f>Proveedores!H7</f>
        <v>3612028.2210502718</v>
      </c>
      <c r="I17" s="69">
        <f>Proveedores!I7</f>
        <v>3587372.7383127273</v>
      </c>
      <c r="J17" s="69">
        <f>Proveedores!J7</f>
        <v>3624355.9624190438</v>
      </c>
      <c r="K17" s="69">
        <f>Proveedores!K7</f>
        <v>3636683.7037878162</v>
      </c>
      <c r="L17" s="69">
        <f>Proveedores!L7</f>
        <v>3744260.468063673</v>
      </c>
      <c r="M17" s="69">
        <f>Proveedores!M7</f>
        <v>3782597.6059619356</v>
      </c>
      <c r="N17" s="69">
        <f>Proveedores!N7</f>
        <v>3795376.6519280234</v>
      </c>
      <c r="O17" s="69">
        <f>Proveedores!O7</f>
        <v>3769818.5599958482</v>
      </c>
      <c r="P17" s="69">
        <f>Proveedores!P7</f>
        <v>3808155.6978941108</v>
      </c>
      <c r="Q17" s="69">
        <f>Proveedores!Q7</f>
        <v>3820934.7438601987</v>
      </c>
      <c r="R17" s="69">
        <f>Proveedores!R7</f>
        <v>3947191.7180051445</v>
      </c>
      <c r="S17" s="69">
        <f>Proveedores!S7</f>
        <v>3987062.3414193378</v>
      </c>
      <c r="T17" s="69">
        <f>Proveedores!T7</f>
        <v>4000352.5492240689</v>
      </c>
      <c r="U17" s="69">
        <f>Proveedores!U7</f>
        <v>3960481.9258098756</v>
      </c>
      <c r="V17" s="69">
        <f>Proveedores!V7</f>
        <v>4000352.5492240689</v>
      </c>
      <c r="W17" s="69">
        <f>Proveedores!W7</f>
        <v>4013642.7570288</v>
      </c>
      <c r="X17" s="69">
        <f>Proveedores!X7</f>
        <v>4126609.5233690143</v>
      </c>
      <c r="Y17" s="69">
        <f>Proveedores!Y7</f>
        <v>4168013.6322991382</v>
      </c>
      <c r="Z17" s="69">
        <f>Proveedores!Z7</f>
        <v>4181815.001942513</v>
      </c>
      <c r="AA17" s="69">
        <f>Proveedores!AA7</f>
        <v>4140410.8930123891</v>
      </c>
      <c r="AB17" s="69">
        <f>Proveedores!AB7</f>
        <v>4181815.001942513</v>
      </c>
      <c r="AC17" s="69">
        <f>Proveedores!AC7</f>
        <v>4195616.3715858879</v>
      </c>
      <c r="AD17" s="69">
        <f>Proveedores!AD7</f>
        <v>4299609.6918487158</v>
      </c>
      <c r="AE17" s="69">
        <f>Proveedores!AE7</f>
        <v>4356747.362172287</v>
      </c>
      <c r="AF17" s="69">
        <f>Proveedores!AF7</f>
        <v>4371031.7797531793</v>
      </c>
      <c r="AG17" s="69">
        <f>Proveedores!AG7</f>
        <v>4328178.5270105014</v>
      </c>
      <c r="AH17" s="69">
        <f>Proveedores!AH7</f>
        <v>4385316.1973340726</v>
      </c>
      <c r="AI17" s="69">
        <f>Proveedores!AI7</f>
        <v>4399600.6149149649</v>
      </c>
      <c r="AJ17" s="69">
        <f>Proveedores!AJ7</f>
        <v>4504076.9831153108</v>
      </c>
      <c r="AK17" s="69">
        <f>Proveedores!AK7</f>
        <v>4563146.8451889539</v>
      </c>
      <c r="AL17" s="69">
        <f>Proveedores!AL7</f>
        <v>4577914.3107073652</v>
      </c>
    </row>
    <row r="18" spans="2:38" x14ac:dyDescent="0.25">
      <c r="B18" s="75" t="s">
        <v>149</v>
      </c>
      <c r="C18" s="69">
        <f>'Información '!$B$14/12</f>
        <v>225000</v>
      </c>
      <c r="D18" s="69">
        <f>'Información '!$B$14/12</f>
        <v>225000</v>
      </c>
      <c r="E18" s="69">
        <f>'Información '!$B$14/12</f>
        <v>225000</v>
      </c>
      <c r="F18" s="69">
        <f>'Información '!$B$14/12</f>
        <v>225000</v>
      </c>
      <c r="G18" s="69">
        <f>'Información '!$B$14/12</f>
        <v>225000</v>
      </c>
      <c r="H18" s="69">
        <f>'Información '!$B$14/12</f>
        <v>225000</v>
      </c>
      <c r="I18" s="69">
        <f>'Información '!$B$14/12</f>
        <v>225000</v>
      </c>
      <c r="J18" s="69">
        <f>'Información '!$B$14/12</f>
        <v>225000</v>
      </c>
      <c r="K18" s="69">
        <f>'Información '!$B$14/12</f>
        <v>225000</v>
      </c>
      <c r="L18" s="69">
        <f>'Información '!$B$14/12</f>
        <v>225000</v>
      </c>
      <c r="M18" s="69">
        <f>'Información '!$B$14/12</f>
        <v>225000</v>
      </c>
      <c r="N18" s="69">
        <f>'Información '!$B$14/12</f>
        <v>225000</v>
      </c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  <c r="AI18" s="69"/>
      <c r="AJ18" s="69"/>
      <c r="AK18" s="69"/>
      <c r="AL18" s="69"/>
    </row>
    <row r="19" spans="2:38" x14ac:dyDescent="0.25">
      <c r="B19" s="75" t="s">
        <v>148</v>
      </c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>
        <f>'Estado de Resultados'!E28</f>
        <v>-450213.4956517088</v>
      </c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>
        <f>'Estado de Resultados'!L25+'Estado de Resultados'!L26</f>
        <v>-464609.43375452398</v>
      </c>
      <c r="AD19" s="69"/>
      <c r="AE19" s="69"/>
      <c r="AF19" s="69"/>
      <c r="AG19" s="69"/>
      <c r="AH19" s="69"/>
      <c r="AI19" s="69"/>
      <c r="AJ19" s="69"/>
      <c r="AK19" s="69"/>
      <c r="AL19" s="69"/>
    </row>
    <row r="20" spans="2:38" x14ac:dyDescent="0.25">
      <c r="B20" s="70" t="s">
        <v>104</v>
      </c>
      <c r="C20" s="71">
        <f>SUM(C11:C19)</f>
        <v>9875940.3336025011</v>
      </c>
      <c r="D20" s="71">
        <f>SUM(D11:D19)</f>
        <v>9561569.6439168714</v>
      </c>
      <c r="E20" s="71">
        <f t="shared" ref="E20:AL20" si="2">SUM(E11:E19)</f>
        <v>9573446.0806883276</v>
      </c>
      <c r="F20" s="71">
        <f t="shared" si="2"/>
        <v>9644490.9254551828</v>
      </c>
      <c r="G20" s="71">
        <f t="shared" si="2"/>
        <v>9681474.1495615002</v>
      </c>
      <c r="H20" s="71">
        <f>SUM(H11:H19)</f>
        <v>9693801.8909302726</v>
      </c>
      <c r="I20" s="71">
        <f t="shared" si="2"/>
        <v>9669146.4081927277</v>
      </c>
      <c r="J20" s="71">
        <f t="shared" si="2"/>
        <v>9706129.6322990451</v>
      </c>
      <c r="K20" s="71">
        <f t="shared" si="2"/>
        <v>9718457.3736678176</v>
      </c>
      <c r="L20" s="71">
        <f t="shared" si="2"/>
        <v>9826034.1379436739</v>
      </c>
      <c r="M20" s="71">
        <f t="shared" si="2"/>
        <v>9864371.2758419365</v>
      </c>
      <c r="N20" s="71">
        <f>SUM(N11:N19)</f>
        <v>9877150.3218080252</v>
      </c>
      <c r="O20" s="71">
        <f t="shared" si="2"/>
        <v>10552473.09679958</v>
      </c>
      <c r="P20" s="71">
        <f t="shared" si="2"/>
        <v>10240810.234697843</v>
      </c>
      <c r="Q20" s="71">
        <f t="shared" si="2"/>
        <v>9803375.7850122228</v>
      </c>
      <c r="R20" s="71">
        <f t="shared" si="2"/>
        <v>10379846.254808877</v>
      </c>
      <c r="S20" s="71">
        <f t="shared" si="2"/>
        <v>10419716.878223071</v>
      </c>
      <c r="T20" s="71">
        <f t="shared" si="2"/>
        <v>10433007.086027801</v>
      </c>
      <c r="U20" s="71">
        <f t="shared" si="2"/>
        <v>10393136.462613609</v>
      </c>
      <c r="V20" s="71">
        <f t="shared" si="2"/>
        <v>10433007.086027801</v>
      </c>
      <c r="W20" s="71">
        <f t="shared" si="2"/>
        <v>10446297.293832533</v>
      </c>
      <c r="X20" s="71">
        <f t="shared" si="2"/>
        <v>10559264.060172748</v>
      </c>
      <c r="Y20" s="71">
        <f t="shared" si="2"/>
        <v>10600668.16910287</v>
      </c>
      <c r="Z20" s="71">
        <f t="shared" si="2"/>
        <v>10614469.538746245</v>
      </c>
      <c r="AA20" s="71">
        <f t="shared" si="2"/>
        <v>11048641.88365905</v>
      </c>
      <c r="AB20" s="71">
        <f t="shared" si="2"/>
        <v>10740045.992589174</v>
      </c>
      <c r="AC20" s="71">
        <f t="shared" si="2"/>
        <v>10289237.928478025</v>
      </c>
      <c r="AD20" s="71">
        <f t="shared" si="2"/>
        <v>10857840.682495378</v>
      </c>
      <c r="AE20" s="71">
        <f t="shared" si="2"/>
        <v>10914978.352818947</v>
      </c>
      <c r="AF20" s="71">
        <f t="shared" si="2"/>
        <v>10929262.770399841</v>
      </c>
      <c r="AG20" s="71">
        <f t="shared" si="2"/>
        <v>10886409.517657163</v>
      </c>
      <c r="AH20" s="71">
        <f t="shared" si="2"/>
        <v>10943547.187980734</v>
      </c>
      <c r="AI20" s="71">
        <f t="shared" si="2"/>
        <v>10957831.605561625</v>
      </c>
      <c r="AJ20" s="71">
        <f t="shared" si="2"/>
        <v>11062307.973761972</v>
      </c>
      <c r="AK20" s="71">
        <f t="shared" si="2"/>
        <v>11121377.835835615</v>
      </c>
      <c r="AL20" s="71">
        <f t="shared" si="2"/>
        <v>11136145.301354026</v>
      </c>
    </row>
    <row r="22" spans="2:38" x14ac:dyDescent="0.25">
      <c r="B22" s="72" t="s">
        <v>99</v>
      </c>
      <c r="C22" s="73">
        <f t="shared" ref="C22:AL22" si="3">C8-C20</f>
        <v>124059.66639749892</v>
      </c>
      <c r="D22" s="73">
        <f t="shared" si="3"/>
        <v>-861569.6439168714</v>
      </c>
      <c r="E22" s="73">
        <f t="shared" si="3"/>
        <v>-783446.08068832755</v>
      </c>
      <c r="F22" s="73">
        <f t="shared" si="3"/>
        <v>-824490.92545518279</v>
      </c>
      <c r="G22" s="73">
        <f t="shared" si="3"/>
        <v>-682014.14956150018</v>
      </c>
      <c r="H22" s="73">
        <f t="shared" si="3"/>
        <v>-600921.89093027264</v>
      </c>
      <c r="I22" s="73">
        <f t="shared" si="3"/>
        <v>-545126.40819272771</v>
      </c>
      <c r="J22" s="73">
        <f t="shared" si="3"/>
        <v>-644389.6322990451</v>
      </c>
      <c r="K22" s="73">
        <f t="shared" si="3"/>
        <v>-563297.37366781756</v>
      </c>
      <c r="L22" s="73">
        <f t="shared" si="3"/>
        <v>-639734.13794367388</v>
      </c>
      <c r="M22" s="73">
        <f t="shared" si="3"/>
        <v>-406331.27584193647</v>
      </c>
      <c r="N22" s="73">
        <f t="shared" si="3"/>
        <v>-322270.32180802524</v>
      </c>
      <c r="O22" s="73">
        <f t="shared" si="3"/>
        <v>-7714845.270707462</v>
      </c>
      <c r="P22" s="73">
        <f t="shared" si="3"/>
        <v>-718210.23469784297</v>
      </c>
      <c r="Q22" s="73">
        <f t="shared" si="3"/>
        <v>-183935.78501222283</v>
      </c>
      <c r="R22" s="73">
        <f t="shared" si="3"/>
        <v>-728126.25480887666</v>
      </c>
      <c r="S22" s="73">
        <f t="shared" si="3"/>
        <v>-449070.47822307236</v>
      </c>
      <c r="T22" s="73">
        <f t="shared" si="3"/>
        <v>-361647.08602780104</v>
      </c>
      <c r="U22" s="73">
        <f t="shared" si="3"/>
        <v>-288205.26261360943</v>
      </c>
      <c r="V22" s="73">
        <f t="shared" si="3"/>
        <v>-428789.48602780141</v>
      </c>
      <c r="W22" s="73">
        <f t="shared" si="3"/>
        <v>-341366.09383253381</v>
      </c>
      <c r="X22" s="73">
        <f t="shared" si="3"/>
        <v>-420761.66017274931</v>
      </c>
      <c r="Y22" s="73">
        <f t="shared" si="3"/>
        <v>-176810.5691028703</v>
      </c>
      <c r="Z22" s="73">
        <f t="shared" si="3"/>
        <v>-86024.73874624446</v>
      </c>
      <c r="AA22" s="73">
        <f t="shared" si="3"/>
        <v>-12383127.603632135</v>
      </c>
      <c r="AB22" s="73">
        <f t="shared" si="3"/>
        <v>-281325.99258917384</v>
      </c>
      <c r="AC22" s="73">
        <f t="shared" si="3"/>
        <v>274069.27152197622</v>
      </c>
      <c r="AD22" s="73">
        <f t="shared" si="3"/>
        <v>-259671.08249537833</v>
      </c>
      <c r="AE22" s="73">
        <f t="shared" si="3"/>
        <v>-54120.5688189473</v>
      </c>
      <c r="AF22" s="73">
        <f t="shared" si="3"/>
        <v>75925.349600160494</v>
      </c>
      <c r="AG22" s="73">
        <f t="shared" si="3"/>
        <v>154861.18634283729</v>
      </c>
      <c r="AH22" s="73">
        <f t="shared" si="3"/>
        <v>-10524.235980732366</v>
      </c>
      <c r="AI22" s="73">
        <f t="shared" si="3"/>
        <v>119521.68243837543</v>
      </c>
      <c r="AJ22" s="73">
        <f t="shared" si="3"/>
        <v>51127.898238029331</v>
      </c>
      <c r="AK22" s="73">
        <f t="shared" si="3"/>
        <v>255966.40416438505</v>
      </c>
      <c r="AL22" s="73">
        <f t="shared" si="3"/>
        <v>390410.01064597443</v>
      </c>
    </row>
    <row r="23" spans="2:38" x14ac:dyDescent="0.25">
      <c r="B23" s="55" t="s">
        <v>105</v>
      </c>
      <c r="C23" s="55">
        <v>0</v>
      </c>
      <c r="D23" s="73">
        <f>C24</f>
        <v>124059.66639749892</v>
      </c>
      <c r="E23" s="73">
        <f>D24</f>
        <v>-737509.97751937248</v>
      </c>
      <c r="F23" s="73">
        <f t="shared" ref="F23:N23" si="4">E24</f>
        <v>-1520956.0582077</v>
      </c>
      <c r="G23" s="73">
        <f t="shared" si="4"/>
        <v>-2345446.9836628828</v>
      </c>
      <c r="H23" s="73">
        <f t="shared" si="4"/>
        <v>-3027461.133224383</v>
      </c>
      <c r="I23" s="73">
        <f t="shared" si="4"/>
        <v>-3628383.0241546556</v>
      </c>
      <c r="J23" s="73">
        <f t="shared" si="4"/>
        <v>-4173509.4323473834</v>
      </c>
      <c r="K23" s="73">
        <f t="shared" si="4"/>
        <v>-4817899.0646464285</v>
      </c>
      <c r="L23" s="73">
        <f t="shared" si="4"/>
        <v>-5381196.438314246</v>
      </c>
      <c r="M23" s="73">
        <f t="shared" si="4"/>
        <v>-6020930.5762579199</v>
      </c>
      <c r="N23" s="73">
        <f t="shared" si="4"/>
        <v>-6427261.8520998564</v>
      </c>
      <c r="O23" s="73"/>
      <c r="P23" s="73">
        <f t="shared" ref="P23" si="5">O24</f>
        <v>-7714845.270707462</v>
      </c>
      <c r="Q23" s="73">
        <f t="shared" ref="Q23" si="6">P24</f>
        <v>-8433055.505405305</v>
      </c>
      <c r="R23" s="73">
        <f t="shared" ref="R23" si="7">Q24</f>
        <v>-8616991.2904175278</v>
      </c>
      <c r="S23" s="73">
        <f t="shared" ref="S23" si="8">R24</f>
        <v>-9345117.5452264044</v>
      </c>
      <c r="T23" s="73">
        <f t="shared" ref="T23" si="9">S24</f>
        <v>-9794188.0234494768</v>
      </c>
      <c r="U23" s="73">
        <f t="shared" ref="U23" si="10">T24</f>
        <v>-10155835.109477278</v>
      </c>
      <c r="V23" s="73">
        <f t="shared" ref="V23" si="11">U24</f>
        <v>-10444040.372090887</v>
      </c>
      <c r="W23" s="73">
        <f t="shared" ref="W23" si="12">V24</f>
        <v>-10872829.858118689</v>
      </c>
      <c r="X23" s="73">
        <f t="shared" ref="X23" si="13">W24</f>
        <v>-11214195.951951222</v>
      </c>
      <c r="Y23" s="73">
        <f t="shared" ref="Y23" si="14">X24</f>
        <v>-11634957.612123972</v>
      </c>
      <c r="Z23" s="73">
        <f t="shared" ref="Z23" si="15">Y24</f>
        <v>-11811768.181226842</v>
      </c>
      <c r="AA23" s="73"/>
      <c r="AB23" s="73">
        <f t="shared" ref="AB23" si="16">AA24</f>
        <v>-12383127.603632135</v>
      </c>
      <c r="AC23" s="73">
        <f t="shared" ref="AC23" si="17">AB24</f>
        <v>-12664453.596221309</v>
      </c>
      <c r="AD23" s="73">
        <f t="shared" ref="AD23" si="18">AC24</f>
        <v>-12390384.324699333</v>
      </c>
      <c r="AE23" s="73">
        <f t="shared" ref="AE23" si="19">AD24</f>
        <v>-12650055.407194711</v>
      </c>
      <c r="AF23" s="73">
        <f t="shared" ref="AF23" si="20">AE24</f>
        <v>-12704175.976013659</v>
      </c>
      <c r="AG23" s="73">
        <f t="shared" ref="AG23" si="21">AF24</f>
        <v>-12628250.626413498</v>
      </c>
      <c r="AH23" s="73">
        <f t="shared" ref="AH23" si="22">AG24</f>
        <v>-12473389.440070661</v>
      </c>
      <c r="AI23" s="73">
        <f t="shared" ref="AI23" si="23">AH24</f>
        <v>-12483913.676051393</v>
      </c>
      <c r="AJ23" s="73">
        <f t="shared" ref="AJ23" si="24">AI24</f>
        <v>-12364391.993613018</v>
      </c>
      <c r="AK23" s="73">
        <f t="shared" ref="AK23:AL23" si="25">AJ24</f>
        <v>-12313264.095374988</v>
      </c>
      <c r="AL23" s="73">
        <f t="shared" si="25"/>
        <v>-12057297.691210603</v>
      </c>
    </row>
    <row r="24" spans="2:38" x14ac:dyDescent="0.25">
      <c r="B24" s="74" t="s">
        <v>106</v>
      </c>
      <c r="C24" s="73">
        <f>SUM(C22:C23)</f>
        <v>124059.66639749892</v>
      </c>
      <c r="D24" s="73">
        <f>SUM(D22:D23)</f>
        <v>-737509.97751937248</v>
      </c>
      <c r="E24" s="73">
        <f>SUM(E22:E23)</f>
        <v>-1520956.0582077</v>
      </c>
      <c r="F24" s="73">
        <f t="shared" ref="F24:M24" si="26">SUM(F22:F23)</f>
        <v>-2345446.9836628828</v>
      </c>
      <c r="G24" s="73">
        <f t="shared" si="26"/>
        <v>-3027461.133224383</v>
      </c>
      <c r="H24" s="73">
        <f t="shared" si="26"/>
        <v>-3628383.0241546556</v>
      </c>
      <c r="I24" s="73">
        <f t="shared" si="26"/>
        <v>-4173509.4323473834</v>
      </c>
      <c r="J24" s="73">
        <f t="shared" si="26"/>
        <v>-4817899.0646464285</v>
      </c>
      <c r="K24" s="73">
        <f t="shared" si="26"/>
        <v>-5381196.438314246</v>
      </c>
      <c r="L24" s="73">
        <f t="shared" si="26"/>
        <v>-6020930.5762579199</v>
      </c>
      <c r="M24" s="73">
        <f t="shared" si="26"/>
        <v>-6427261.8520998564</v>
      </c>
      <c r="N24" s="73">
        <f>SUM(N22:N23)</f>
        <v>-6749532.1739078816</v>
      </c>
      <c r="O24" s="73">
        <f>SUM(O22:O23)</f>
        <v>-7714845.270707462</v>
      </c>
      <c r="P24" s="73">
        <f t="shared" ref="P24:AK24" si="27">SUM(P22:P23)</f>
        <v>-8433055.505405305</v>
      </c>
      <c r="Q24" s="73">
        <f t="shared" si="27"/>
        <v>-8616991.2904175278</v>
      </c>
      <c r="R24" s="73">
        <f t="shared" si="27"/>
        <v>-9345117.5452264044</v>
      </c>
      <c r="S24" s="73">
        <f t="shared" si="27"/>
        <v>-9794188.0234494768</v>
      </c>
      <c r="T24" s="73">
        <f t="shared" si="27"/>
        <v>-10155835.109477278</v>
      </c>
      <c r="U24" s="73">
        <f t="shared" si="27"/>
        <v>-10444040.372090887</v>
      </c>
      <c r="V24" s="73">
        <f t="shared" si="27"/>
        <v>-10872829.858118689</v>
      </c>
      <c r="W24" s="73">
        <f t="shared" si="27"/>
        <v>-11214195.951951222</v>
      </c>
      <c r="X24" s="73">
        <f t="shared" si="27"/>
        <v>-11634957.612123972</v>
      </c>
      <c r="Y24" s="73">
        <f t="shared" si="27"/>
        <v>-11811768.181226842</v>
      </c>
      <c r="Z24" s="73">
        <f t="shared" si="27"/>
        <v>-11897792.919973087</v>
      </c>
      <c r="AA24" s="73">
        <f t="shared" si="27"/>
        <v>-12383127.603632135</v>
      </c>
      <c r="AB24" s="73">
        <f t="shared" si="27"/>
        <v>-12664453.596221309</v>
      </c>
      <c r="AC24" s="73">
        <f t="shared" si="27"/>
        <v>-12390384.324699333</v>
      </c>
      <c r="AD24" s="73">
        <f t="shared" si="27"/>
        <v>-12650055.407194711</v>
      </c>
      <c r="AE24" s="73">
        <f t="shared" si="27"/>
        <v>-12704175.976013659</v>
      </c>
      <c r="AF24" s="73">
        <f t="shared" si="27"/>
        <v>-12628250.626413498</v>
      </c>
      <c r="AG24" s="73">
        <f t="shared" si="27"/>
        <v>-12473389.440070661</v>
      </c>
      <c r="AH24" s="73">
        <f t="shared" si="27"/>
        <v>-12483913.676051393</v>
      </c>
      <c r="AI24" s="73">
        <f t="shared" si="27"/>
        <v>-12364391.993613018</v>
      </c>
      <c r="AJ24" s="73">
        <f t="shared" si="27"/>
        <v>-12313264.095374988</v>
      </c>
      <c r="AK24" s="73">
        <f t="shared" si="27"/>
        <v>-12057297.691210603</v>
      </c>
      <c r="AL24" s="73">
        <f>SUM(AL22:AL23)</f>
        <v>-11666887.680564629</v>
      </c>
    </row>
    <row r="25" spans="2:38" x14ac:dyDescent="0.25">
      <c r="C25" s="47"/>
    </row>
    <row r="27" spans="2:38" x14ac:dyDescent="0.25">
      <c r="C27" s="47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31"/>
  <sheetViews>
    <sheetView topLeftCell="A11" zoomScaleNormal="100" workbookViewId="0">
      <selection activeCell="J34" sqref="J34"/>
    </sheetView>
  </sheetViews>
  <sheetFormatPr baseColWidth="10" defaultRowHeight="15" x14ac:dyDescent="0.25"/>
  <cols>
    <col min="2" max="2" width="29.85546875" customWidth="1"/>
    <col min="3" max="4" width="12.5703125" bestFit="1" customWidth="1"/>
    <col min="5" max="5" width="12.5703125" customWidth="1"/>
    <col min="10" max="10" width="20.42578125" customWidth="1"/>
    <col min="11" max="12" width="12.5703125" bestFit="1" customWidth="1"/>
    <col min="13" max="13" width="12.28515625" bestFit="1" customWidth="1"/>
    <col min="14" max="14" width="12.5703125" bestFit="1" customWidth="1"/>
    <col min="18" max="18" width="19.85546875" customWidth="1"/>
    <col min="19" max="20" width="12.5703125" bestFit="1" customWidth="1"/>
    <col min="21" max="21" width="12.28515625" bestFit="1" customWidth="1"/>
  </cols>
  <sheetData>
    <row r="1" spans="1:21" x14ac:dyDescent="0.25">
      <c r="A1" s="1" t="s">
        <v>12</v>
      </c>
      <c r="B1" s="2"/>
      <c r="C1" s="3"/>
      <c r="D1" s="3"/>
      <c r="E1" s="2"/>
      <c r="I1" s="1" t="s">
        <v>12</v>
      </c>
      <c r="J1" s="2"/>
      <c r="K1" s="3"/>
      <c r="L1" s="3"/>
      <c r="M1" s="2"/>
      <c r="Q1" s="1" t="s">
        <v>12</v>
      </c>
      <c r="R1" s="2"/>
      <c r="S1" s="3"/>
      <c r="T1" s="3"/>
      <c r="U1" s="2"/>
    </row>
    <row r="2" spans="1:21" x14ac:dyDescent="0.25">
      <c r="A2" s="2" t="s">
        <v>13</v>
      </c>
      <c r="B2" s="2"/>
      <c r="C2" s="3"/>
      <c r="D2" s="3"/>
      <c r="E2" s="2"/>
      <c r="I2" s="2" t="s">
        <v>50</v>
      </c>
      <c r="J2" s="2"/>
      <c r="K2" s="3"/>
      <c r="L2" s="3"/>
      <c r="M2" s="2"/>
      <c r="Q2" s="2" t="s">
        <v>51</v>
      </c>
      <c r="R2" s="2"/>
      <c r="S2" s="3"/>
      <c r="T2" s="3"/>
      <c r="U2" s="2"/>
    </row>
    <row r="3" spans="1:21" x14ac:dyDescent="0.25">
      <c r="A3" s="2" t="s">
        <v>0</v>
      </c>
      <c r="B3" s="2"/>
      <c r="C3" s="3"/>
      <c r="D3" s="3"/>
      <c r="E3" s="2"/>
      <c r="I3" s="2" t="s">
        <v>0</v>
      </c>
      <c r="J3" s="2"/>
      <c r="K3" s="3"/>
      <c r="L3" s="3"/>
      <c r="M3" s="2"/>
      <c r="Q3" s="2" t="s">
        <v>0</v>
      </c>
      <c r="R3" s="2"/>
      <c r="S3" s="3"/>
      <c r="T3" s="3"/>
      <c r="U3" s="2"/>
    </row>
    <row r="4" spans="1:21" x14ac:dyDescent="0.25">
      <c r="A4" s="4"/>
      <c r="B4" s="4"/>
      <c r="C4" s="5"/>
      <c r="D4" s="4"/>
      <c r="E4" s="4"/>
      <c r="I4" s="4"/>
      <c r="J4" s="4"/>
      <c r="K4" s="5"/>
      <c r="L4" s="4"/>
      <c r="M4" s="4"/>
      <c r="Q4" s="4"/>
      <c r="R4" s="4"/>
      <c r="S4" s="5"/>
      <c r="T4" s="4"/>
      <c r="U4" s="4"/>
    </row>
    <row r="5" spans="1:21" x14ac:dyDescent="0.25">
      <c r="A5" s="4"/>
      <c r="B5" s="4"/>
      <c r="C5" s="5"/>
      <c r="D5" s="4"/>
      <c r="E5" s="4"/>
      <c r="I5" s="4"/>
      <c r="J5" s="4"/>
      <c r="K5" s="5"/>
      <c r="L5" s="4"/>
      <c r="M5" s="4"/>
      <c r="Q5" s="4"/>
      <c r="R5" s="4"/>
      <c r="S5" s="5"/>
      <c r="T5" s="4"/>
      <c r="U5" s="4"/>
    </row>
    <row r="6" spans="1:21" x14ac:dyDescent="0.25">
      <c r="A6" s="6" t="s">
        <v>1</v>
      </c>
      <c r="B6" s="6"/>
      <c r="C6" s="7">
        <f>'Presupuesto de Ventas'!M9</f>
        <v>109529640</v>
      </c>
      <c r="D6" s="8"/>
      <c r="E6" s="2"/>
      <c r="I6" s="6" t="s">
        <v>1</v>
      </c>
      <c r="J6" s="6"/>
      <c r="K6" s="7">
        <f>'Presupuesto de Ventas'!Y9</f>
        <v>120703958.39999998</v>
      </c>
      <c r="L6" s="8"/>
      <c r="M6" s="2"/>
      <c r="Q6" s="6" t="s">
        <v>1</v>
      </c>
      <c r="R6" s="6"/>
      <c r="S6" s="7">
        <f>'Presupuesto de Ventas'!AK9</f>
        <v>132119083.15200001</v>
      </c>
      <c r="T6" s="8"/>
      <c r="U6" s="2"/>
    </row>
    <row r="7" spans="1:21" x14ac:dyDescent="0.25">
      <c r="A7" s="6" t="s">
        <v>2</v>
      </c>
      <c r="B7" s="6"/>
      <c r="C7" s="8"/>
      <c r="D7" s="8">
        <f>C6</f>
        <v>109529640</v>
      </c>
      <c r="E7" s="9"/>
      <c r="I7" s="6" t="s">
        <v>2</v>
      </c>
      <c r="J7" s="6"/>
      <c r="K7" s="8"/>
      <c r="L7" s="8">
        <f>K6</f>
        <v>120703958.39999998</v>
      </c>
      <c r="M7" s="9"/>
      <c r="Q7" s="6" t="s">
        <v>2</v>
      </c>
      <c r="R7" s="6"/>
      <c r="S7" s="8"/>
      <c r="T7" s="8">
        <f>S6</f>
        <v>132119083.15200001</v>
      </c>
      <c r="U7" s="9"/>
    </row>
    <row r="8" spans="1:21" x14ac:dyDescent="0.25">
      <c r="A8" s="6"/>
      <c r="B8" s="6"/>
      <c r="C8" s="8"/>
      <c r="D8" s="8"/>
      <c r="E8" s="9"/>
      <c r="I8" s="6"/>
      <c r="J8" s="6"/>
      <c r="K8" s="8"/>
      <c r="L8" s="8"/>
      <c r="M8" s="9"/>
      <c r="Q8" s="6"/>
      <c r="R8" s="6"/>
      <c r="S8" s="8"/>
      <c r="T8" s="8"/>
      <c r="U8" s="9"/>
    </row>
    <row r="9" spans="1:21" x14ac:dyDescent="0.25">
      <c r="A9" s="6" t="s">
        <v>3</v>
      </c>
      <c r="B9" s="6"/>
      <c r="C9" s="8"/>
      <c r="D9" s="7">
        <f>Proveedores!N8</f>
        <v>43360728.135347873</v>
      </c>
      <c r="E9" s="10"/>
      <c r="I9" s="6" t="s">
        <v>3</v>
      </c>
      <c r="J9" s="6"/>
      <c r="K9" s="8"/>
      <c r="L9" s="7">
        <f>Proveedores!Z8</f>
        <v>47784431.000072122</v>
      </c>
      <c r="M9" s="10"/>
      <c r="Q9" s="6" t="s">
        <v>3</v>
      </c>
      <c r="R9" s="6"/>
      <c r="S9" s="8"/>
      <c r="T9" s="7">
        <f>Proveedores!AL8</f>
        <v>52303464.578586139</v>
      </c>
      <c r="U9" s="10"/>
    </row>
    <row r="10" spans="1:21" x14ac:dyDescent="0.25">
      <c r="A10" s="11" t="s">
        <v>4</v>
      </c>
      <c r="B10" s="6"/>
      <c r="C10" s="8"/>
      <c r="D10" s="8"/>
      <c r="E10" s="9">
        <f>+D7-D9</f>
        <v>66168911.864652127</v>
      </c>
      <c r="I10" s="11" t="s">
        <v>4</v>
      </c>
      <c r="J10" s="6"/>
      <c r="K10" s="8"/>
      <c r="L10" s="8"/>
      <c r="M10" s="9">
        <f>+L7-L9</f>
        <v>72919527.399927855</v>
      </c>
      <c r="Q10" s="11" t="s">
        <v>4</v>
      </c>
      <c r="R10" s="6"/>
      <c r="S10" s="8"/>
      <c r="T10" s="8"/>
      <c r="U10" s="9">
        <f>+T7-T9</f>
        <v>79815618.573413879</v>
      </c>
    </row>
    <row r="11" spans="1:21" x14ac:dyDescent="0.25">
      <c r="A11" s="6"/>
      <c r="B11" s="6"/>
      <c r="C11" s="8"/>
      <c r="D11" s="8"/>
      <c r="E11" s="9"/>
      <c r="I11" s="6"/>
      <c r="J11" s="6"/>
      <c r="K11" s="8"/>
      <c r="L11" s="8"/>
      <c r="M11" s="9"/>
      <c r="Q11" s="6"/>
      <c r="R11" s="6"/>
      <c r="S11" s="8"/>
      <c r="T11" s="8"/>
      <c r="U11" s="9"/>
    </row>
    <row r="12" spans="1:21" x14ac:dyDescent="0.25">
      <c r="A12" s="6" t="s">
        <v>5</v>
      </c>
      <c r="B12" s="6"/>
      <c r="C12" s="8">
        <f>(Salarios!$H$7*12)+(Salarios!$L$7*12)+(Salarios!$H$15*12)</f>
        <v>52717284.038560003</v>
      </c>
      <c r="D12" s="8"/>
      <c r="E12" s="4"/>
      <c r="I12" s="6" t="s">
        <v>5</v>
      </c>
      <c r="J12" s="6"/>
      <c r="K12" s="8">
        <f>(+Salarios!H23+Salarios!L23+Salarios!H31)*12</f>
        <v>59886734.441644795</v>
      </c>
      <c r="L12" s="8"/>
      <c r="M12" s="4"/>
      <c r="Q12" s="6" t="s">
        <v>5</v>
      </c>
      <c r="R12" s="6"/>
      <c r="S12" s="8">
        <f>(Salarios!$H$39*12)+(Salarios!$L$39*12)+(Salarios!$H$47*12)</f>
        <v>60647118.287759937</v>
      </c>
      <c r="T12" s="8"/>
      <c r="U12" s="4"/>
    </row>
    <row r="13" spans="1:21" x14ac:dyDescent="0.25">
      <c r="A13" s="6" t="s">
        <v>86</v>
      </c>
      <c r="B13" s="6"/>
      <c r="C13" s="8">
        <f>322000*12</f>
        <v>3864000</v>
      </c>
      <c r="D13" s="8"/>
      <c r="E13" s="4"/>
      <c r="I13" s="6" t="s">
        <v>86</v>
      </c>
      <c r="J13" s="6"/>
      <c r="K13" s="8">
        <f>322000*(1+'Información '!E1)*12</f>
        <v>4173120</v>
      </c>
      <c r="L13" s="8"/>
      <c r="M13" s="4"/>
      <c r="Q13" s="6" t="s">
        <v>86</v>
      </c>
      <c r="R13" s="6"/>
      <c r="S13" s="8">
        <f>344540*12*(1+'Información '!H1)</f>
        <v>4423893.6000000006</v>
      </c>
      <c r="T13" s="8"/>
      <c r="U13" s="4"/>
    </row>
    <row r="14" spans="1:21" x14ac:dyDescent="0.25">
      <c r="A14" s="6" t="s">
        <v>87</v>
      </c>
      <c r="B14" s="6"/>
      <c r="C14" s="8">
        <f>200000*12</f>
        <v>2400000</v>
      </c>
      <c r="D14" s="8"/>
      <c r="E14" s="4"/>
      <c r="I14" s="6" t="s">
        <v>87</v>
      </c>
      <c r="J14" s="6"/>
      <c r="K14" s="8">
        <f>200000*(1+'Información '!E1)*12</f>
        <v>2592000</v>
      </c>
      <c r="L14" s="8"/>
      <c r="M14" s="4"/>
      <c r="Q14" s="6" t="s">
        <v>87</v>
      </c>
      <c r="R14" s="6"/>
      <c r="S14" s="8">
        <f>214000*12*(1+'Información '!H1)</f>
        <v>2747760</v>
      </c>
      <c r="T14" s="8"/>
      <c r="U14" s="4"/>
    </row>
    <row r="15" spans="1:21" x14ac:dyDescent="0.25">
      <c r="A15" s="6" t="s">
        <v>88</v>
      </c>
      <c r="B15" s="6"/>
      <c r="C15" s="8">
        <v>350000</v>
      </c>
      <c r="D15" s="8"/>
      <c r="E15" s="2"/>
      <c r="I15" s="6" t="s">
        <v>88</v>
      </c>
      <c r="J15" s="6"/>
      <c r="K15" s="8">
        <v>350000</v>
      </c>
      <c r="L15" s="8"/>
      <c r="M15" s="2"/>
      <c r="Q15" s="6" t="s">
        <v>88</v>
      </c>
      <c r="R15" s="6"/>
      <c r="S15" s="8">
        <v>350000</v>
      </c>
      <c r="T15" s="8"/>
      <c r="U15" s="2"/>
    </row>
    <row r="16" spans="1:21" x14ac:dyDescent="0.25">
      <c r="A16" s="6" t="s">
        <v>137</v>
      </c>
      <c r="B16" s="6"/>
      <c r="C16" s="8">
        <v>5900000</v>
      </c>
      <c r="D16" s="8"/>
      <c r="E16" s="2"/>
      <c r="I16" s="6" t="s">
        <v>137</v>
      </c>
      <c r="J16" s="6"/>
      <c r="K16" s="8">
        <v>4300000</v>
      </c>
      <c r="L16" s="8"/>
      <c r="M16" s="2"/>
      <c r="Q16" s="6" t="s">
        <v>137</v>
      </c>
      <c r="R16" s="6"/>
      <c r="S16" s="8">
        <v>4400000</v>
      </c>
      <c r="T16" s="8"/>
      <c r="U16" s="2"/>
    </row>
    <row r="17" spans="1:21" x14ac:dyDescent="0.25">
      <c r="A17" s="6" t="s">
        <v>89</v>
      </c>
      <c r="B17" s="6"/>
      <c r="C17" s="8">
        <f>450000*12</f>
        <v>5400000</v>
      </c>
      <c r="D17" s="8"/>
      <c r="E17" s="2"/>
      <c r="I17" s="6" t="s">
        <v>89</v>
      </c>
      <c r="J17" s="6"/>
      <c r="K17" s="8">
        <f>520000*12</f>
        <v>6240000</v>
      </c>
      <c r="L17" s="8"/>
      <c r="M17" s="2"/>
      <c r="Q17" s="6" t="s">
        <v>89</v>
      </c>
      <c r="R17" s="6"/>
      <c r="S17" s="8">
        <f>540000*12</f>
        <v>6480000</v>
      </c>
      <c r="T17" s="8"/>
      <c r="U17" s="2"/>
    </row>
    <row r="18" spans="1:21" x14ac:dyDescent="0.25">
      <c r="A18" s="6" t="s">
        <v>6</v>
      </c>
      <c r="B18" s="6"/>
      <c r="C18" s="8">
        <f>'Información '!$B$16</f>
        <v>540000</v>
      </c>
      <c r="D18" s="8"/>
      <c r="E18" s="2"/>
      <c r="I18" s="6" t="s">
        <v>6</v>
      </c>
      <c r="J18" s="6"/>
      <c r="K18" s="8">
        <f>'Información '!$B$16</f>
        <v>540000</v>
      </c>
      <c r="L18" s="8"/>
      <c r="M18" s="2"/>
      <c r="Q18" s="6" t="s">
        <v>6</v>
      </c>
      <c r="R18" s="6"/>
      <c r="S18" s="8">
        <f>'Información '!$B$16</f>
        <v>540000</v>
      </c>
      <c r="T18" s="8"/>
      <c r="U18" s="2"/>
    </row>
    <row r="19" spans="1:21" x14ac:dyDescent="0.25">
      <c r="A19" s="6" t="s">
        <v>7</v>
      </c>
      <c r="B19" s="6"/>
      <c r="C19" s="8"/>
      <c r="D19" s="7">
        <f>SUM(C12:C18)</f>
        <v>71171284.038560003</v>
      </c>
      <c r="E19" s="2"/>
      <c r="I19" s="6" t="s">
        <v>7</v>
      </c>
      <c r="J19" s="6"/>
      <c r="K19" s="8"/>
      <c r="L19" s="7">
        <f>SUM(K12:K18)</f>
        <v>78081854.441644788</v>
      </c>
      <c r="M19" s="2"/>
      <c r="N19" s="98">
        <f>+L19+L9-K18</f>
        <v>125326285.44171691</v>
      </c>
      <c r="Q19" s="6" t="s">
        <v>7</v>
      </c>
      <c r="R19" s="6"/>
      <c r="S19" s="8"/>
      <c r="T19" s="7">
        <f>SUM(S12:S18)</f>
        <v>79588771.887759939</v>
      </c>
      <c r="U19" s="2"/>
    </row>
    <row r="20" spans="1:21" x14ac:dyDescent="0.25">
      <c r="A20" s="6"/>
      <c r="B20" s="6"/>
      <c r="C20" s="8"/>
      <c r="D20" s="8"/>
      <c r="E20" s="2"/>
      <c r="I20" s="6"/>
      <c r="J20" s="6"/>
      <c r="K20" s="8"/>
      <c r="L20" s="8"/>
      <c r="M20" s="2"/>
      <c r="N20">
        <v>127508806</v>
      </c>
      <c r="Q20" s="6"/>
      <c r="R20" s="6"/>
      <c r="S20" s="8"/>
      <c r="T20" s="8"/>
      <c r="U20" s="2"/>
    </row>
    <row r="21" spans="1:21" x14ac:dyDescent="0.25">
      <c r="A21" s="11" t="s">
        <v>8</v>
      </c>
      <c r="B21" s="6"/>
      <c r="C21" s="8"/>
      <c r="D21" s="8"/>
      <c r="E21" s="12">
        <f>+E10-D19</f>
        <v>-5002372.173907876</v>
      </c>
      <c r="I21" s="11" t="s">
        <v>8</v>
      </c>
      <c r="J21" s="6"/>
      <c r="K21" s="8"/>
      <c r="L21" s="8"/>
      <c r="M21" s="12">
        <f>+M10-L19</f>
        <v>-5162327.0417169333</v>
      </c>
      <c r="N21" s="98">
        <f>+N20-N19</f>
        <v>2182520.5582830906</v>
      </c>
      <c r="Q21" s="11" t="s">
        <v>8</v>
      </c>
      <c r="R21" s="6"/>
      <c r="S21" s="8"/>
      <c r="T21" s="8"/>
      <c r="U21" s="12">
        <f>+U10-T19</f>
        <v>226846.68565393984</v>
      </c>
    </row>
    <row r="22" spans="1:21" x14ac:dyDescent="0.25">
      <c r="A22" s="4"/>
      <c r="B22" s="4"/>
      <c r="C22" s="5"/>
      <c r="D22" s="4"/>
      <c r="E22" s="4"/>
      <c r="I22" s="4"/>
      <c r="J22" s="4"/>
      <c r="K22" s="5"/>
      <c r="L22" s="4"/>
      <c r="M22" s="4"/>
      <c r="N22" s="98">
        <f>+N21-'Balance General'!E23</f>
        <v>2182520.5582830906</v>
      </c>
      <c r="Q22" s="4"/>
      <c r="R22" s="4"/>
      <c r="S22" s="5"/>
      <c r="T22" s="4"/>
      <c r="U22" s="4"/>
    </row>
    <row r="23" spans="1:21" x14ac:dyDescent="0.25">
      <c r="A23" s="1" t="s">
        <v>9</v>
      </c>
      <c r="B23" s="4"/>
      <c r="C23" s="5"/>
      <c r="D23" s="14"/>
      <c r="E23" s="13">
        <f>+E21</f>
        <v>-5002372.173907876</v>
      </c>
      <c r="I23" s="1" t="s">
        <v>9</v>
      </c>
      <c r="J23" s="4"/>
      <c r="K23" s="5"/>
      <c r="L23" s="14"/>
      <c r="M23" s="13">
        <f>+M21</f>
        <v>-5162327.0417169333</v>
      </c>
      <c r="Q23" s="1" t="s">
        <v>9</v>
      </c>
      <c r="R23" s="4"/>
      <c r="S23" s="5"/>
      <c r="T23" s="14"/>
      <c r="U23" s="13">
        <f>+U21</f>
        <v>226846.68565393984</v>
      </c>
    </row>
    <row r="24" spans="1:21" x14ac:dyDescent="0.25">
      <c r="A24" s="2"/>
      <c r="B24" s="4"/>
      <c r="C24" s="5"/>
      <c r="D24" s="14"/>
      <c r="E24" s="15"/>
      <c r="I24" s="2"/>
      <c r="J24" s="4"/>
      <c r="K24" s="5"/>
      <c r="L24" s="14"/>
      <c r="M24" s="15"/>
      <c r="Q24" s="2"/>
      <c r="R24" s="4"/>
      <c r="S24" s="5"/>
      <c r="T24" s="14"/>
      <c r="U24" s="15"/>
    </row>
    <row r="25" spans="1:21" x14ac:dyDescent="0.25">
      <c r="A25" s="2" t="s">
        <v>96</v>
      </c>
      <c r="B25" s="4"/>
      <c r="C25" s="52">
        <v>0.25</v>
      </c>
      <c r="D25" s="14"/>
      <c r="E25" s="15"/>
      <c r="I25" s="2" t="s">
        <v>96</v>
      </c>
      <c r="J25" s="4"/>
      <c r="K25" s="52">
        <v>0.25</v>
      </c>
      <c r="L25" s="14"/>
      <c r="M25" s="15"/>
      <c r="Q25" s="2" t="s">
        <v>96</v>
      </c>
      <c r="R25" s="4"/>
      <c r="S25" s="52">
        <v>0.25</v>
      </c>
      <c r="T25" s="14">
        <f>U23*S25</f>
        <v>56711.671413484961</v>
      </c>
      <c r="U25" s="15"/>
    </row>
    <row r="26" spans="1:21" x14ac:dyDescent="0.25">
      <c r="A26" s="2" t="s">
        <v>95</v>
      </c>
      <c r="B26" s="4"/>
      <c r="C26" s="52">
        <v>0.09</v>
      </c>
      <c r="D26" s="14">
        <f>E23*C26</f>
        <v>-450213.4956517088</v>
      </c>
      <c r="E26" s="15"/>
      <c r="I26" s="2" t="s">
        <v>95</v>
      </c>
      <c r="J26" s="4"/>
      <c r="K26" s="52">
        <v>0.09</v>
      </c>
      <c r="L26" s="14">
        <f>M23*K26</f>
        <v>-464609.43375452398</v>
      </c>
      <c r="M26" s="15"/>
      <c r="Q26" s="2" t="s">
        <v>95</v>
      </c>
      <c r="R26" s="4"/>
      <c r="S26" s="52">
        <v>0.09</v>
      </c>
      <c r="T26" s="14">
        <f>U23*S26</f>
        <v>20416.201708854584</v>
      </c>
      <c r="U26" s="15"/>
    </row>
    <row r="27" spans="1:21" x14ac:dyDescent="0.25">
      <c r="A27" s="2"/>
      <c r="B27" s="4"/>
      <c r="C27" s="5"/>
      <c r="D27" s="14"/>
      <c r="E27" s="15"/>
      <c r="I27" s="2"/>
      <c r="J27" s="4"/>
      <c r="K27" s="5"/>
      <c r="L27" s="14"/>
      <c r="M27" s="15"/>
      <c r="Q27" s="2"/>
      <c r="R27" s="4"/>
      <c r="S27" s="5"/>
      <c r="T27" s="14"/>
      <c r="U27" s="15"/>
    </row>
    <row r="28" spans="1:21" x14ac:dyDescent="0.25">
      <c r="A28" s="1" t="s">
        <v>10</v>
      </c>
      <c r="B28" s="4"/>
      <c r="C28" s="5"/>
      <c r="D28" s="14"/>
      <c r="E28" s="15">
        <f>SUM(D25:D26)</f>
        <v>-450213.4956517088</v>
      </c>
      <c r="I28" s="1" t="s">
        <v>10</v>
      </c>
      <c r="J28" s="4"/>
      <c r="K28" s="5"/>
      <c r="L28" s="14"/>
      <c r="M28" s="15">
        <f>+L26+L25</f>
        <v>-464609.43375452398</v>
      </c>
      <c r="Q28" s="1" t="s">
        <v>10</v>
      </c>
      <c r="R28" s="4"/>
      <c r="S28" s="5"/>
      <c r="T28" s="14"/>
      <c r="U28" s="15">
        <f>SUM(T25:T26)</f>
        <v>77127.873122339544</v>
      </c>
    </row>
    <row r="29" spans="1:21" x14ac:dyDescent="0.25">
      <c r="A29" s="4"/>
      <c r="B29" s="4"/>
      <c r="C29" s="5"/>
      <c r="D29" s="4"/>
      <c r="E29" s="4"/>
      <c r="I29" s="4"/>
      <c r="J29" s="4"/>
      <c r="K29" s="5"/>
      <c r="L29" s="4"/>
      <c r="M29" s="4"/>
      <c r="Q29" s="4"/>
      <c r="R29" s="4"/>
      <c r="S29" s="5"/>
      <c r="T29" s="4"/>
      <c r="U29" s="4"/>
    </row>
    <row r="30" spans="1:21" ht="15.75" thickBot="1" x14ac:dyDescent="0.3">
      <c r="A30" s="1" t="s">
        <v>11</v>
      </c>
      <c r="B30" s="4"/>
      <c r="C30" s="5"/>
      <c r="D30" s="4"/>
      <c r="E30" s="16">
        <f>+E23-E28</f>
        <v>-4552158.6782561671</v>
      </c>
      <c r="I30" s="1" t="s">
        <v>11</v>
      </c>
      <c r="J30" s="4"/>
      <c r="K30" s="5"/>
      <c r="L30" s="4"/>
      <c r="M30" s="16">
        <f>+M23-M28</f>
        <v>-4697717.607962409</v>
      </c>
      <c r="Q30" s="1" t="s">
        <v>11</v>
      </c>
      <c r="R30" s="4"/>
      <c r="S30" s="5"/>
      <c r="T30" s="4"/>
      <c r="U30" s="16">
        <f>+U23-U28</f>
        <v>149718.8125316003</v>
      </c>
    </row>
    <row r="31" spans="1:21" ht="15.75" thickTop="1" x14ac:dyDescent="0.25"/>
  </sheetData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C15" sqref="C15"/>
    </sheetView>
  </sheetViews>
  <sheetFormatPr baseColWidth="10" defaultRowHeight="15" x14ac:dyDescent="0.25"/>
  <cols>
    <col min="1" max="1" width="38.7109375" style="41" bestFit="1" customWidth="1"/>
    <col min="2" max="2" width="15.5703125" style="41" bestFit="1" customWidth="1"/>
    <col min="3" max="3" width="12.5703125" style="41" bestFit="1" customWidth="1"/>
    <col min="4" max="4" width="38.7109375" style="41" bestFit="1" customWidth="1"/>
    <col min="5" max="5" width="15.5703125" style="41" bestFit="1" customWidth="1"/>
    <col min="6" max="6" width="11.42578125" style="41"/>
    <col min="7" max="7" width="38.7109375" style="41" bestFit="1" customWidth="1"/>
    <col min="8" max="8" width="15" style="41" bestFit="1" customWidth="1"/>
    <col min="9" max="16384" width="11.42578125" style="41"/>
  </cols>
  <sheetData>
    <row r="1" spans="1:8" ht="15.75" x14ac:dyDescent="0.25">
      <c r="A1" s="30" t="s">
        <v>64</v>
      </c>
      <c r="B1" s="31"/>
      <c r="D1" s="30" t="s">
        <v>65</v>
      </c>
      <c r="E1" s="31"/>
      <c r="G1" s="30" t="s">
        <v>66</v>
      </c>
      <c r="H1" s="31"/>
    </row>
    <row r="2" spans="1:8" ht="15.75" x14ac:dyDescent="0.25">
      <c r="A2" s="32"/>
      <c r="B2" s="31"/>
      <c r="D2" s="32"/>
      <c r="E2" s="31"/>
      <c r="G2" s="32"/>
      <c r="H2" s="31"/>
    </row>
    <row r="3" spans="1:8" ht="15.75" x14ac:dyDescent="0.25">
      <c r="A3" s="33" t="s">
        <v>52</v>
      </c>
      <c r="B3" s="31"/>
      <c r="D3" s="33" t="s">
        <v>52</v>
      </c>
      <c r="E3" s="31"/>
      <c r="G3" s="33" t="s">
        <v>52</v>
      </c>
      <c r="H3" s="31"/>
    </row>
    <row r="4" spans="1:8" ht="15.75" x14ac:dyDescent="0.25">
      <c r="A4" s="32" t="s">
        <v>98</v>
      </c>
      <c r="B4" s="54">
        <f>'Presupuesto de Flujo de Efectiv'!N24</f>
        <v>-6749532.1739078816</v>
      </c>
      <c r="D4" s="32" t="s">
        <v>98</v>
      </c>
      <c r="E4" s="54">
        <f>'Presupuesto de Flujo de Efectiv'!Z24</f>
        <v>-11897792.919973087</v>
      </c>
      <c r="G4" s="32" t="s">
        <v>98</v>
      </c>
      <c r="H4" s="54">
        <f>'Presupuesto de Flujo de Efectiv'!AL24</f>
        <v>-11666887.680564629</v>
      </c>
    </row>
    <row r="5" spans="1:8" ht="15.75" x14ac:dyDescent="0.25">
      <c r="A5" s="32" t="s">
        <v>150</v>
      </c>
      <c r="B5" s="34">
        <f>+'Presupuesto de Ventas'!M8</f>
        <v>9587160</v>
      </c>
      <c r="D5" s="32" t="s">
        <v>150</v>
      </c>
      <c r="E5" s="34">
        <f>+'Presupuesto de Ventas'!Y8</f>
        <v>10563307.200000001</v>
      </c>
      <c r="G5" s="32" t="s">
        <v>150</v>
      </c>
      <c r="H5" s="34">
        <f>+'Presupuesto de Ventas'!AK8</f>
        <v>11563858.080000002</v>
      </c>
    </row>
    <row r="6" spans="1:8" ht="15.75" x14ac:dyDescent="0.25">
      <c r="A6" s="35" t="s">
        <v>53</v>
      </c>
      <c r="B6" s="36">
        <f>SUM(B4:B5)</f>
        <v>2837627.8260921184</v>
      </c>
      <c r="D6" s="35" t="s">
        <v>53</v>
      </c>
      <c r="E6" s="36">
        <f>SUM(E4:E5)</f>
        <v>-1334485.7199730854</v>
      </c>
      <c r="G6" s="35" t="s">
        <v>53</v>
      </c>
      <c r="H6" s="36">
        <f>SUM(H4:H5)</f>
        <v>-103029.60056462698</v>
      </c>
    </row>
    <row r="7" spans="1:8" ht="15.75" x14ac:dyDescent="0.25">
      <c r="A7" s="32" t="s">
        <v>97</v>
      </c>
      <c r="B7" s="34">
        <f>'Información '!$B$14</f>
        <v>2700000</v>
      </c>
      <c r="D7" s="32" t="s">
        <v>97</v>
      </c>
      <c r="E7" s="34">
        <f>'Información '!$B$14</f>
        <v>2700000</v>
      </c>
      <c r="G7" s="32" t="s">
        <v>97</v>
      </c>
      <c r="H7" s="34">
        <f>'Información '!$B$14</f>
        <v>2700000</v>
      </c>
    </row>
    <row r="8" spans="1:8" ht="15.75" x14ac:dyDescent="0.25">
      <c r="A8" s="32" t="s">
        <v>54</v>
      </c>
      <c r="B8" s="34">
        <f>'Información '!$B$16</f>
        <v>540000</v>
      </c>
      <c r="D8" s="32" t="s">
        <v>54</v>
      </c>
      <c r="E8" s="34">
        <f>'Información '!$B$16*2</f>
        <v>1080000</v>
      </c>
      <c r="G8" s="32" t="s">
        <v>54</v>
      </c>
      <c r="H8" s="34">
        <f>'Información '!$B$16*3</f>
        <v>1620000</v>
      </c>
    </row>
    <row r="9" spans="1:8" ht="18" x14ac:dyDescent="0.4">
      <c r="A9" s="35" t="s">
        <v>55</v>
      </c>
      <c r="B9" s="37">
        <f>+B7-B8</f>
        <v>2160000</v>
      </c>
      <c r="D9" s="35" t="s">
        <v>55</v>
      </c>
      <c r="E9" s="37">
        <f>+E7-E8</f>
        <v>1620000</v>
      </c>
      <c r="G9" s="35" t="s">
        <v>55</v>
      </c>
      <c r="H9" s="37">
        <f>+H7-H8</f>
        <v>1080000</v>
      </c>
    </row>
    <row r="10" spans="1:8" ht="15.75" x14ac:dyDescent="0.25">
      <c r="A10" s="38" t="s">
        <v>56</v>
      </c>
      <c r="B10" s="39">
        <f>+B9+B6</f>
        <v>4997627.8260921184</v>
      </c>
      <c r="D10" s="38" t="s">
        <v>56</v>
      </c>
      <c r="E10" s="39">
        <f>+E9+E6</f>
        <v>285514.28002691455</v>
      </c>
      <c r="G10" s="38" t="s">
        <v>56</v>
      </c>
      <c r="H10" s="39">
        <f>+H6+H9</f>
        <v>976970.39943537302</v>
      </c>
    </row>
    <row r="11" spans="1:8" ht="15.75" x14ac:dyDescent="0.25">
      <c r="A11" s="32"/>
      <c r="B11" s="31"/>
      <c r="D11" s="32"/>
      <c r="E11" s="31"/>
      <c r="G11" s="32"/>
      <c r="H11" s="31"/>
    </row>
    <row r="12" spans="1:8" ht="15.75" x14ac:dyDescent="0.25">
      <c r="A12" s="33" t="s">
        <v>57</v>
      </c>
      <c r="B12" s="31"/>
      <c r="D12" s="33" t="s">
        <v>57</v>
      </c>
      <c r="E12" s="31"/>
      <c r="G12" s="33" t="s">
        <v>57</v>
      </c>
      <c r="H12" s="31"/>
    </row>
    <row r="13" spans="1:8" ht="15.75" x14ac:dyDescent="0.25">
      <c r="A13" s="32" t="s">
        <v>58</v>
      </c>
      <c r="B13" s="34">
        <f>'Estado de Resultados'!$E$28</f>
        <v>-450213.4956517088</v>
      </c>
      <c r="D13" s="32" t="s">
        <v>58</v>
      </c>
      <c r="E13" s="34">
        <f>+'Estado de Resultados'!M28</f>
        <v>-464609.43375452398</v>
      </c>
      <c r="G13" s="32" t="s">
        <v>58</v>
      </c>
      <c r="H13" s="34">
        <f>'Estado de Resultados'!$U$28</f>
        <v>77127.873122339544</v>
      </c>
    </row>
    <row r="14" spans="1:8" ht="15.75" x14ac:dyDescent="0.25">
      <c r="A14" s="35" t="s">
        <v>59</v>
      </c>
      <c r="B14" s="36">
        <f>SUM(B13:B13)</f>
        <v>-450213.4956517088</v>
      </c>
      <c r="D14" s="35" t="s">
        <v>59</v>
      </c>
      <c r="E14" s="36">
        <f>SUM(E13:E13)</f>
        <v>-464609.43375452398</v>
      </c>
      <c r="G14" s="35" t="s">
        <v>59</v>
      </c>
      <c r="H14" s="36">
        <f>SUM(H13:H13)</f>
        <v>77127.873122339544</v>
      </c>
    </row>
    <row r="15" spans="1:8" ht="15.75" x14ac:dyDescent="0.25">
      <c r="A15" s="33" t="s">
        <v>60</v>
      </c>
      <c r="B15" s="40">
        <f>+B14</f>
        <v>-450213.4956517088</v>
      </c>
      <c r="D15" s="33" t="s">
        <v>60</v>
      </c>
      <c r="E15" s="40">
        <f>+E14</f>
        <v>-464609.43375452398</v>
      </c>
      <c r="G15" s="33" t="s">
        <v>60</v>
      </c>
      <c r="H15" s="40">
        <f>+H14</f>
        <v>77127.873122339544</v>
      </c>
    </row>
    <row r="16" spans="1:8" ht="15.75" x14ac:dyDescent="0.25">
      <c r="A16" s="33" t="s">
        <v>14</v>
      </c>
      <c r="B16" s="34"/>
      <c r="D16" s="33" t="s">
        <v>14</v>
      </c>
      <c r="E16" s="34"/>
      <c r="G16" s="33" t="s">
        <v>14</v>
      </c>
      <c r="H16" s="34"/>
    </row>
    <row r="17" spans="1:8" ht="15.75" x14ac:dyDescent="0.25">
      <c r="A17" s="32" t="s">
        <v>61</v>
      </c>
      <c r="B17" s="34">
        <f>10000000</f>
        <v>10000000</v>
      </c>
      <c r="D17" s="32" t="s">
        <v>61</v>
      </c>
      <c r="E17" s="34">
        <v>10000000</v>
      </c>
      <c r="G17" s="32" t="s">
        <v>61</v>
      </c>
      <c r="H17" s="34">
        <v>10000000</v>
      </c>
    </row>
    <row r="18" spans="1:8" ht="15.75" x14ac:dyDescent="0.25">
      <c r="A18" s="32" t="s">
        <v>67</v>
      </c>
      <c r="B18" s="34">
        <f>'Estado de Resultados'!$E$30</f>
        <v>-4552158.6782561671</v>
      </c>
      <c r="D18" s="32" t="s">
        <v>151</v>
      </c>
      <c r="E18" s="34">
        <f>+B18</f>
        <v>-4552158.6782561671</v>
      </c>
      <c r="G18" s="32" t="s">
        <v>151</v>
      </c>
      <c r="H18" s="34">
        <f>+E19+E18</f>
        <v>-9249876.2862185761</v>
      </c>
    </row>
    <row r="19" spans="1:8" ht="15.75" x14ac:dyDescent="0.25">
      <c r="A19" s="33" t="s">
        <v>62</v>
      </c>
      <c r="B19" s="40">
        <f>+B17+B18</f>
        <v>5447841.3217438329</v>
      </c>
      <c r="D19" s="32" t="s">
        <v>67</v>
      </c>
      <c r="E19" s="34">
        <f>'Estado de Resultados'!$M$30</f>
        <v>-4697717.607962409</v>
      </c>
      <c r="G19" s="32" t="s">
        <v>67</v>
      </c>
      <c r="H19" s="34">
        <f>'Estado de Resultados'!$U$30</f>
        <v>149718.8125316003</v>
      </c>
    </row>
    <row r="20" spans="1:8" ht="15.75" x14ac:dyDescent="0.25">
      <c r="A20" s="38" t="s">
        <v>63</v>
      </c>
      <c r="B20" s="39">
        <f>+B19+B15</f>
        <v>4997627.826092124</v>
      </c>
      <c r="D20" s="33" t="s">
        <v>62</v>
      </c>
      <c r="E20" s="40">
        <f>+E19+E18+E17</f>
        <v>750123.71378142387</v>
      </c>
      <c r="G20" s="33" t="s">
        <v>62</v>
      </c>
      <c r="H20" s="40">
        <f>+H19+H18+H17</f>
        <v>899842.52631302364</v>
      </c>
    </row>
    <row r="21" spans="1:8" ht="15.75" x14ac:dyDescent="0.25">
      <c r="D21" s="38" t="s">
        <v>63</v>
      </c>
      <c r="E21" s="39">
        <f>+E20+E15</f>
        <v>285514.28002689988</v>
      </c>
      <c r="G21" s="38" t="s">
        <v>63</v>
      </c>
      <c r="H21" s="39">
        <f>+H20+H15</f>
        <v>976970.39943536324</v>
      </c>
    </row>
    <row r="22" spans="1:8" x14ac:dyDescent="0.25">
      <c r="B22" s="53"/>
      <c r="H22" s="53"/>
    </row>
    <row r="23" spans="1:8" x14ac:dyDescent="0.25">
      <c r="B23" s="53"/>
      <c r="C23" s="53"/>
      <c r="E23" s="53"/>
      <c r="H23" s="53"/>
    </row>
    <row r="24" spans="1:8" x14ac:dyDescent="0.25">
      <c r="B24" s="97"/>
      <c r="E24" s="5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47"/>
  <sheetViews>
    <sheetView workbookViewId="0">
      <selection activeCell="D9" sqref="D9"/>
    </sheetView>
  </sheetViews>
  <sheetFormatPr baseColWidth="10" defaultRowHeight="15" x14ac:dyDescent="0.25"/>
  <cols>
    <col min="1" max="1" width="25.5703125" customWidth="1"/>
    <col min="3" max="3" width="12.5703125" bestFit="1" customWidth="1"/>
    <col min="6" max="6" width="23.5703125" bestFit="1" customWidth="1"/>
    <col min="10" max="10" width="23.5703125" bestFit="1" customWidth="1"/>
  </cols>
  <sheetData>
    <row r="1" spans="1:12" x14ac:dyDescent="0.25">
      <c r="A1" s="28" t="s">
        <v>79</v>
      </c>
      <c r="F1" s="28">
        <v>2016</v>
      </c>
    </row>
    <row r="2" spans="1:12" x14ac:dyDescent="0.25">
      <c r="F2" s="27" t="s">
        <v>37</v>
      </c>
      <c r="J2" s="27" t="s">
        <v>38</v>
      </c>
    </row>
    <row r="3" spans="1:12" x14ac:dyDescent="0.25">
      <c r="B3" s="18">
        <v>2016</v>
      </c>
      <c r="C3" s="27">
        <v>2017</v>
      </c>
      <c r="D3" s="27">
        <v>2018</v>
      </c>
      <c r="F3" s="28"/>
      <c r="G3" s="28" t="s">
        <v>82</v>
      </c>
      <c r="J3" s="28"/>
      <c r="K3" s="28" t="s">
        <v>82</v>
      </c>
    </row>
    <row r="4" spans="1:12" x14ac:dyDescent="0.25">
      <c r="A4" t="s">
        <v>80</v>
      </c>
      <c r="B4" s="25">
        <v>689454</v>
      </c>
      <c r="C4" s="47">
        <f>B4*(1+'Información '!$E$1)</f>
        <v>744610.32000000007</v>
      </c>
      <c r="D4" s="17">
        <f>C4*(1+'Información '!$H$1)</f>
        <v>796733.04240000015</v>
      </c>
      <c r="F4" s="28" t="s">
        <v>83</v>
      </c>
      <c r="G4">
        <f>H4/B4</f>
        <v>1.7405077060978686</v>
      </c>
      <c r="H4" s="47">
        <v>1200000</v>
      </c>
      <c r="J4" s="28" t="s">
        <v>83</v>
      </c>
      <c r="K4">
        <v>1</v>
      </c>
      <c r="L4" s="47">
        <v>689454</v>
      </c>
    </row>
    <row r="5" spans="1:12" x14ac:dyDescent="0.25">
      <c r="A5" t="s">
        <v>81</v>
      </c>
      <c r="B5" s="47">
        <v>77700</v>
      </c>
      <c r="C5" s="51">
        <f>B5*(1+'Información '!$E$1)</f>
        <v>83916</v>
      </c>
      <c r="D5" s="17">
        <f>C5*(1+'Información '!$H$1)</f>
        <v>89790.12000000001</v>
      </c>
      <c r="F5" s="28" t="s">
        <v>84</v>
      </c>
      <c r="H5" s="25">
        <f>H4*C17</f>
        <v>622264</v>
      </c>
      <c r="J5" s="28" t="s">
        <v>84</v>
      </c>
      <c r="L5" s="25">
        <f>L4*C17</f>
        <v>357518.66988</v>
      </c>
    </row>
    <row r="6" spans="1:12" x14ac:dyDescent="0.25">
      <c r="F6" s="28" t="s">
        <v>81</v>
      </c>
      <c r="H6" s="47">
        <f>B5</f>
        <v>77700</v>
      </c>
      <c r="J6" s="28" t="s">
        <v>81</v>
      </c>
      <c r="L6" s="47">
        <f>B5</f>
        <v>77700</v>
      </c>
    </row>
    <row r="7" spans="1:12" x14ac:dyDescent="0.25">
      <c r="A7" s="28" t="s">
        <v>68</v>
      </c>
      <c r="C7" s="42"/>
      <c r="F7" s="28" t="s">
        <v>85</v>
      </c>
      <c r="H7" s="47">
        <f>SUM(H4:H6)</f>
        <v>1899964</v>
      </c>
      <c r="J7" s="28" t="s">
        <v>85</v>
      </c>
      <c r="L7" s="47">
        <f>SUM(L4:L6)</f>
        <v>1124672.6698799999</v>
      </c>
    </row>
    <row r="8" spans="1:12" x14ac:dyDescent="0.25">
      <c r="A8" t="s">
        <v>69</v>
      </c>
      <c r="B8" s="42"/>
      <c r="C8" s="42">
        <v>0.09</v>
      </c>
      <c r="F8" s="48"/>
      <c r="G8" s="49"/>
      <c r="H8" s="50"/>
      <c r="J8" s="48"/>
      <c r="K8" s="49"/>
      <c r="L8" s="50"/>
    </row>
    <row r="9" spans="1:12" x14ac:dyDescent="0.25">
      <c r="A9" t="s">
        <v>70</v>
      </c>
      <c r="B9" s="42"/>
      <c r="C9" s="24">
        <f>SUM(B10:B13)</f>
        <v>0.2183333333333333</v>
      </c>
    </row>
    <row r="10" spans="1:12" x14ac:dyDescent="0.25">
      <c r="A10" t="s">
        <v>71</v>
      </c>
      <c r="B10" s="43">
        <f>1/12</f>
        <v>8.3333333333333329E-2</v>
      </c>
      <c r="F10" s="27" t="s">
        <v>39</v>
      </c>
      <c r="J10" s="27"/>
    </row>
    <row r="11" spans="1:12" x14ac:dyDescent="0.25">
      <c r="A11" t="s">
        <v>72</v>
      </c>
      <c r="B11" s="44">
        <v>0.01</v>
      </c>
      <c r="F11" s="28"/>
      <c r="G11" s="28" t="s">
        <v>82</v>
      </c>
      <c r="J11" s="28"/>
      <c r="K11" s="28"/>
    </row>
    <row r="12" spans="1:12" x14ac:dyDescent="0.25">
      <c r="A12" t="s">
        <v>73</v>
      </c>
      <c r="B12" s="43">
        <f>1/12</f>
        <v>8.3333333333333329E-2</v>
      </c>
      <c r="F12" s="28" t="s">
        <v>83</v>
      </c>
      <c r="G12">
        <f>H12/B4</f>
        <v>1.2328596251526571</v>
      </c>
      <c r="H12" s="47">
        <v>850000</v>
      </c>
      <c r="J12" s="28"/>
      <c r="L12" s="47"/>
    </row>
    <row r="13" spans="1:12" x14ac:dyDescent="0.25">
      <c r="A13" t="s">
        <v>74</v>
      </c>
      <c r="B13" s="45">
        <f>1/24</f>
        <v>4.1666666666666664E-2</v>
      </c>
      <c r="F13" s="28" t="s">
        <v>84</v>
      </c>
      <c r="H13" s="25">
        <f>H12*C17</f>
        <v>440770.33333333331</v>
      </c>
      <c r="J13" s="28"/>
      <c r="L13" s="25"/>
    </row>
    <row r="14" spans="1:12" x14ac:dyDescent="0.25">
      <c r="A14" t="s">
        <v>75</v>
      </c>
      <c r="C14" s="24">
        <v>8.5000000000000006E-2</v>
      </c>
      <c r="F14" s="28" t="s">
        <v>81</v>
      </c>
      <c r="H14" s="47">
        <f>B5</f>
        <v>77700</v>
      </c>
      <c r="J14" s="28"/>
      <c r="L14" s="47"/>
    </row>
    <row r="15" spans="1:12" x14ac:dyDescent="0.25">
      <c r="A15" t="s">
        <v>76</v>
      </c>
      <c r="C15" s="42">
        <v>0.12</v>
      </c>
      <c r="F15" s="28" t="s">
        <v>85</v>
      </c>
      <c r="H15" s="47">
        <f>SUM(H12:H14)</f>
        <v>1368470.3333333333</v>
      </c>
      <c r="J15" s="28"/>
      <c r="L15" s="47"/>
    </row>
    <row r="16" spans="1:12" x14ac:dyDescent="0.25">
      <c r="A16" t="s">
        <v>77</v>
      </c>
      <c r="C16" s="46">
        <v>5.2199999999999998E-3</v>
      </c>
      <c r="F16" s="48"/>
      <c r="G16" s="49"/>
      <c r="H16" s="50"/>
      <c r="J16" s="48"/>
      <c r="K16" s="49"/>
      <c r="L16" s="50"/>
    </row>
    <row r="17" spans="1:12" x14ac:dyDescent="0.25">
      <c r="A17" s="27" t="s">
        <v>78</v>
      </c>
      <c r="C17" s="24">
        <f>SUM(C8:C16)</f>
        <v>0.51855333333333331</v>
      </c>
      <c r="F17" s="28">
        <v>2017</v>
      </c>
    </row>
    <row r="18" spans="1:12" x14ac:dyDescent="0.25">
      <c r="F18" s="27" t="s">
        <v>37</v>
      </c>
      <c r="J18" s="27" t="s">
        <v>38</v>
      </c>
    </row>
    <row r="19" spans="1:12" x14ac:dyDescent="0.25">
      <c r="F19" s="28"/>
      <c r="G19" s="28"/>
      <c r="J19" s="28"/>
      <c r="K19" s="28"/>
    </row>
    <row r="20" spans="1:12" x14ac:dyDescent="0.25">
      <c r="B20" s="17"/>
      <c r="F20" s="28" t="s">
        <v>83</v>
      </c>
      <c r="H20" s="47">
        <f>1300000*(1+'Información '!$E$1)</f>
        <v>1404000</v>
      </c>
      <c r="J20" s="28" t="s">
        <v>83</v>
      </c>
      <c r="L20" s="47">
        <f>C4</f>
        <v>744610.32000000007</v>
      </c>
    </row>
    <row r="21" spans="1:12" x14ac:dyDescent="0.25">
      <c r="B21" s="17"/>
      <c r="F21" s="28" t="s">
        <v>84</v>
      </c>
      <c r="H21" s="25">
        <f>H20*$C$17</f>
        <v>728048.88</v>
      </c>
      <c r="J21" s="28" t="s">
        <v>84</v>
      </c>
      <c r="L21" s="25">
        <f>L20*$C$17</f>
        <v>386120.16347040003</v>
      </c>
    </row>
    <row r="22" spans="1:12" x14ac:dyDescent="0.25">
      <c r="B22" s="17"/>
      <c r="F22" s="28" t="s">
        <v>81</v>
      </c>
      <c r="H22" s="47">
        <f>C5</f>
        <v>83916</v>
      </c>
      <c r="J22" s="28" t="s">
        <v>81</v>
      </c>
      <c r="L22" s="47">
        <f>C5</f>
        <v>83916</v>
      </c>
    </row>
    <row r="23" spans="1:12" x14ac:dyDescent="0.25">
      <c r="B23" s="17"/>
      <c r="F23" s="28" t="s">
        <v>85</v>
      </c>
      <c r="H23" s="47">
        <f>SUM(H20:H22)</f>
        <v>2215964.88</v>
      </c>
      <c r="J23" s="28" t="s">
        <v>85</v>
      </c>
      <c r="L23" s="47">
        <f>SUM(L20:L22)</f>
        <v>1214646.4834704001</v>
      </c>
    </row>
    <row r="24" spans="1:12" x14ac:dyDescent="0.25">
      <c r="B24" s="17"/>
      <c r="F24" s="48"/>
      <c r="G24" s="49"/>
      <c r="H24" s="50"/>
      <c r="J24" s="48"/>
      <c r="K24" s="49"/>
      <c r="L24" s="50"/>
    </row>
    <row r="25" spans="1:12" x14ac:dyDescent="0.25">
      <c r="B25" s="26"/>
    </row>
    <row r="26" spans="1:12" x14ac:dyDescent="0.25">
      <c r="F26" s="27" t="s">
        <v>39</v>
      </c>
      <c r="J26" s="27"/>
    </row>
    <row r="27" spans="1:12" x14ac:dyDescent="0.25">
      <c r="C27" s="26"/>
      <c r="F27" s="28"/>
      <c r="G27" s="28"/>
      <c r="J27" s="28"/>
      <c r="K27" s="28"/>
    </row>
    <row r="28" spans="1:12" x14ac:dyDescent="0.25">
      <c r="F28" s="28" t="s">
        <v>83</v>
      </c>
      <c r="H28" s="47">
        <f>900000*(1+'Información '!$E$1)</f>
        <v>972000.00000000012</v>
      </c>
      <c r="J28" s="28"/>
      <c r="L28" s="47"/>
    </row>
    <row r="29" spans="1:12" x14ac:dyDescent="0.25">
      <c r="F29" s="28" t="s">
        <v>84</v>
      </c>
      <c r="H29" s="25">
        <f>H28*$C$17</f>
        <v>504033.84</v>
      </c>
      <c r="J29" s="28"/>
      <c r="L29" s="25"/>
    </row>
    <row r="30" spans="1:12" x14ac:dyDescent="0.25">
      <c r="F30" s="28" t="s">
        <v>81</v>
      </c>
      <c r="H30" s="47">
        <f>C5</f>
        <v>83916</v>
      </c>
      <c r="J30" s="28"/>
      <c r="L30" s="47"/>
    </row>
    <row r="31" spans="1:12" x14ac:dyDescent="0.25">
      <c r="F31" s="28" t="s">
        <v>85</v>
      </c>
      <c r="H31" s="47">
        <f>SUM(H28:H30)</f>
        <v>1559949.84</v>
      </c>
      <c r="J31" s="28"/>
      <c r="L31" s="47"/>
    </row>
    <row r="33" spans="6:12" x14ac:dyDescent="0.25">
      <c r="F33" s="28">
        <v>2018</v>
      </c>
    </row>
    <row r="34" spans="6:12" x14ac:dyDescent="0.25">
      <c r="F34" s="27" t="s">
        <v>37</v>
      </c>
      <c r="J34" s="27" t="s">
        <v>38</v>
      </c>
    </row>
    <row r="35" spans="6:12" x14ac:dyDescent="0.25">
      <c r="F35" s="28"/>
      <c r="G35" s="28"/>
      <c r="J35" s="28"/>
      <c r="K35" s="28"/>
    </row>
    <row r="36" spans="6:12" x14ac:dyDescent="0.25">
      <c r="F36" s="28" t="s">
        <v>83</v>
      </c>
      <c r="H36" s="47">
        <f>1300000*(1+'Información '!$H$1)</f>
        <v>1391000</v>
      </c>
      <c r="J36" s="28" t="s">
        <v>83</v>
      </c>
      <c r="L36" s="47">
        <f>D4</f>
        <v>796733.04240000015</v>
      </c>
    </row>
    <row r="37" spans="6:12" x14ac:dyDescent="0.25">
      <c r="F37" s="28" t="s">
        <v>84</v>
      </c>
      <c r="H37" s="25">
        <f>H36*$C$17</f>
        <v>721307.68666666665</v>
      </c>
      <c r="J37" s="28" t="s">
        <v>84</v>
      </c>
      <c r="L37" s="25">
        <f>L36*$C$17</f>
        <v>413148.57491332805</v>
      </c>
    </row>
    <row r="38" spans="6:12" x14ac:dyDescent="0.25">
      <c r="F38" s="28" t="s">
        <v>81</v>
      </c>
      <c r="H38" s="47">
        <f>D5</f>
        <v>89790.12000000001</v>
      </c>
      <c r="J38" s="28" t="s">
        <v>81</v>
      </c>
      <c r="L38" s="47">
        <f>D5</f>
        <v>89790.12000000001</v>
      </c>
    </row>
    <row r="39" spans="6:12" x14ac:dyDescent="0.25">
      <c r="F39" s="28" t="s">
        <v>85</v>
      </c>
      <c r="H39" s="47">
        <f>SUM(H36:H38)</f>
        <v>2202097.8066666666</v>
      </c>
      <c r="J39" s="28" t="s">
        <v>85</v>
      </c>
      <c r="L39" s="47">
        <f>SUM(L36:L38)</f>
        <v>1299671.7373133283</v>
      </c>
    </row>
    <row r="40" spans="6:12" x14ac:dyDescent="0.25">
      <c r="F40" s="48"/>
      <c r="G40" s="49"/>
      <c r="H40" s="50"/>
      <c r="J40" s="48"/>
      <c r="K40" s="49"/>
      <c r="L40" s="50"/>
    </row>
    <row r="42" spans="6:12" x14ac:dyDescent="0.25">
      <c r="F42" s="27" t="s">
        <v>39</v>
      </c>
      <c r="J42" s="27"/>
    </row>
    <row r="43" spans="6:12" x14ac:dyDescent="0.25">
      <c r="F43" s="28"/>
      <c r="G43" s="28"/>
      <c r="J43" s="28"/>
      <c r="K43" s="28"/>
    </row>
    <row r="44" spans="6:12" x14ac:dyDescent="0.25">
      <c r="F44" s="28" t="s">
        <v>83</v>
      </c>
      <c r="H44" s="47">
        <f>900000*(1+'Información '!$H$1)</f>
        <v>963000</v>
      </c>
      <c r="J44" s="28"/>
      <c r="L44" s="47"/>
    </row>
    <row r="45" spans="6:12" x14ac:dyDescent="0.25">
      <c r="F45" s="28" t="s">
        <v>84</v>
      </c>
      <c r="H45" s="25">
        <f>H44*$C$17</f>
        <v>499366.86</v>
      </c>
      <c r="J45" s="28"/>
      <c r="L45" s="25"/>
    </row>
    <row r="46" spans="6:12" x14ac:dyDescent="0.25">
      <c r="F46" s="28" t="s">
        <v>81</v>
      </c>
      <c r="H46" s="47">
        <f>D5</f>
        <v>89790.12000000001</v>
      </c>
      <c r="J46" s="28"/>
      <c r="L46" s="47"/>
    </row>
    <row r="47" spans="6:12" x14ac:dyDescent="0.25">
      <c r="F47" s="28" t="s">
        <v>85</v>
      </c>
      <c r="H47" s="47">
        <f>SUM(H44:H46)</f>
        <v>1552156.98</v>
      </c>
      <c r="J47" s="28"/>
      <c r="L47" s="47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Información </vt:lpstr>
      <vt:lpstr>Presupuesto de Ventas</vt:lpstr>
      <vt:lpstr>Proveedores</vt:lpstr>
      <vt:lpstr>Presupuesto de Flujo de Efectiv</vt:lpstr>
      <vt:lpstr>Estado de Resultados</vt:lpstr>
      <vt:lpstr>Balance General</vt:lpstr>
      <vt:lpstr>Salarios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santiago velasquez</dc:creator>
  <cp:lastModifiedBy>santiago velasquez</cp:lastModifiedBy>
  <dcterms:created xsi:type="dcterms:W3CDTF">2016-03-18T00:47:31Z</dcterms:created>
  <dcterms:modified xsi:type="dcterms:W3CDTF">2016-04-03T20:18:02Z</dcterms:modified>
</cp:coreProperties>
</file>